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nketa" sheetId="1" r:id="rId1"/>
    <sheet name="Eilute" sheetId="2" state="hidden" r:id="rId2"/>
  </sheets>
  <definedNames>
    <definedName name="_xlnm.Print_Area" localSheetId="0">'Anketa'!$A$3:$M$85</definedName>
  </definedNames>
  <calcPr fullCalcOnLoad="1"/>
</workbook>
</file>

<file path=xl/sharedStrings.xml><?xml version="1.0" encoding="utf-8"?>
<sst xmlns="http://schemas.openxmlformats.org/spreadsheetml/2006/main" count="206" uniqueCount="147">
  <si>
    <t>Iš viso dalykų:</t>
  </si>
  <si>
    <t>Pamokų skaičius III klasėje:</t>
  </si>
  <si>
    <t>Kodas</t>
  </si>
  <si>
    <t>Klasė</t>
  </si>
  <si>
    <t>Pamokų skaičius IV klasėje:</t>
  </si>
  <si>
    <t>Eil. Nr.</t>
  </si>
  <si>
    <t>Dalykų grupė</t>
  </si>
  <si>
    <t>Dalykas</t>
  </si>
  <si>
    <t>Kursas</t>
  </si>
  <si>
    <t>Pamokų skaičius</t>
  </si>
  <si>
    <t>B</t>
  </si>
  <si>
    <t>A</t>
  </si>
  <si>
    <t>Ar teisingai pasirinktas dalykas</t>
  </si>
  <si>
    <t>Ar teisingai pasirinkta grupėje</t>
  </si>
  <si>
    <t>Papildomas patikrinimas</t>
  </si>
  <si>
    <t>Valandos per 2 metus</t>
  </si>
  <si>
    <t>Valandos 3 kl</t>
  </si>
  <si>
    <t>Valandos 4 kl</t>
  </si>
  <si>
    <t>III kl.</t>
  </si>
  <si>
    <t>IV kl.</t>
  </si>
  <si>
    <t>Dorinis ugdymas</t>
  </si>
  <si>
    <t>Tikyba</t>
  </si>
  <si>
    <t>–</t>
  </si>
  <si>
    <t>Etika</t>
  </si>
  <si>
    <t>Anglų kalba</t>
  </si>
  <si>
    <t>Vokiečių kalba</t>
  </si>
  <si>
    <t>Istorija</t>
  </si>
  <si>
    <t>Geografija</t>
  </si>
  <si>
    <t>Matematika</t>
  </si>
  <si>
    <t>Gamtos mokslai</t>
  </si>
  <si>
    <t>Biologija</t>
  </si>
  <si>
    <t>Fizika</t>
  </si>
  <si>
    <t>Chemija</t>
  </si>
  <si>
    <t>Menai ir technologijos</t>
  </si>
  <si>
    <t>Dailė</t>
  </si>
  <si>
    <t>Muzika</t>
  </si>
  <si>
    <t>Teatras</t>
  </si>
  <si>
    <t>Kūno kultūra</t>
  </si>
  <si>
    <t>Bendroji kūno kultūra</t>
  </si>
  <si>
    <t>Rusų kalba</t>
  </si>
  <si>
    <t>Informacinės technologijos</t>
  </si>
  <si>
    <t>`</t>
  </si>
  <si>
    <t>Prancūzų kalba</t>
  </si>
  <si>
    <t>Psichologija</t>
  </si>
  <si>
    <t>A kursu (išplėstiniu):</t>
  </si>
  <si>
    <t>B kursu (bendruoju):</t>
  </si>
  <si>
    <t>Data</t>
  </si>
  <si>
    <r>
      <t>Bendra-sis kursas</t>
    </r>
    <r>
      <rPr>
        <b/>
        <sz val="10"/>
        <rFont val="Times New Roman"/>
        <family val="1"/>
      </rPr>
      <t xml:space="preserve"> (B)</t>
    </r>
  </si>
  <si>
    <r>
      <t>Gimtoji k.</t>
    </r>
    <r>
      <rPr>
        <sz val="10"/>
        <rFont val="Times New Roman"/>
        <family val="1"/>
      </rPr>
      <t xml:space="preserve"> </t>
    </r>
  </si>
  <si>
    <r>
      <t>PASIRENKAMIEJI DALYKAI</t>
    </r>
    <r>
      <rPr>
        <sz val="11"/>
        <rFont val="Times New Roman"/>
        <family val="1"/>
      </rPr>
      <t>, įskaičiuojami į dalykų ir pamokų skaičių</t>
    </r>
  </si>
  <si>
    <r>
      <t>MODULIAI</t>
    </r>
    <r>
      <rPr>
        <sz val="11"/>
        <rFont val="Times New Roman"/>
        <family val="1"/>
      </rPr>
      <t>, įskaičiuojami į pamokų skaičių, bet neįskaičiuojami į dalykų skaičių</t>
    </r>
  </si>
  <si>
    <t>Pavardė, vardas</t>
  </si>
  <si>
    <t>Branduolio dalykai</t>
  </si>
  <si>
    <t>Iš viso val.</t>
  </si>
  <si>
    <t>Matematika B</t>
  </si>
  <si>
    <t>Informacinės technologijos B</t>
  </si>
  <si>
    <t>IT</t>
  </si>
  <si>
    <t>Istorija B</t>
  </si>
  <si>
    <t>Gegorafija B</t>
  </si>
  <si>
    <t>Gegografija A</t>
  </si>
  <si>
    <t>Biologija B</t>
  </si>
  <si>
    <t>Bilogija A</t>
  </si>
  <si>
    <t>Fizika B</t>
  </si>
  <si>
    <t>Fizika A</t>
  </si>
  <si>
    <t>Chemija B</t>
  </si>
  <si>
    <t>Chemija A</t>
  </si>
  <si>
    <t>Dailė B</t>
  </si>
  <si>
    <t>Muzika B</t>
  </si>
  <si>
    <t>Teatras B</t>
  </si>
  <si>
    <t>Bendroji kūno kultūra B</t>
  </si>
  <si>
    <t>Vardas</t>
  </si>
  <si>
    <t>Pavardė</t>
  </si>
  <si>
    <t>Iš viso dalykų</t>
  </si>
  <si>
    <r>
      <t xml:space="preserve">Pasirinktą dalyką, kursą, modulį pažymėkite: </t>
    </r>
    <r>
      <rPr>
        <b/>
        <sz val="9"/>
        <rFont val="Wingdings 2"/>
        <family val="1"/>
      </rPr>
      <t>R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.</t>
    </r>
  </si>
  <si>
    <t>Lietuvių kalba ir literatūra</t>
  </si>
  <si>
    <t>Užsienio kalba (I)</t>
  </si>
  <si>
    <t>Užsienio kalba (II)</t>
  </si>
  <si>
    <t>IT (programavimas)</t>
  </si>
  <si>
    <t>IT (elektroninė leidyba)</t>
  </si>
  <si>
    <t>Tel. Nr.</t>
  </si>
  <si>
    <t>IT (programavimas) A</t>
  </si>
  <si>
    <t>IT (elektroninė leidyba) A</t>
  </si>
  <si>
    <t>Dorinis ugdy-mas</t>
  </si>
  <si>
    <t>Keitimai IV kl. I pusm.</t>
  </si>
  <si>
    <t>Keitimai III kl. II pusm.</t>
  </si>
  <si>
    <t>Keitimai III kl. I pusm.</t>
  </si>
  <si>
    <t>Pamokų skaičius
 III klasėje:</t>
  </si>
  <si>
    <t>Pamokų skaičius
IV klasėje:</t>
  </si>
  <si>
    <t>*Keitimų stulpeliai pildomi, jei mokinys, pasibaigus pusmečiui, keičia individualų ugdymo planą.</t>
  </si>
  <si>
    <t>Mokinio parašas</t>
  </si>
  <si>
    <t>Klaipėdos „Ąžuolyno“ gimnazija</t>
  </si>
  <si>
    <r>
      <t xml:space="preserve">Užpildytą anketą siųskite adresu: </t>
    </r>
    <r>
      <rPr>
        <b/>
        <sz val="9"/>
        <rFont val="Times New Roman"/>
        <family val="1"/>
      </rPr>
      <t>azuolynas.tvarkarastis@gmail.com</t>
    </r>
  </si>
  <si>
    <r>
      <t>Visuomenės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mokslai</t>
    </r>
  </si>
  <si>
    <t>Šokis</t>
  </si>
  <si>
    <t>Turizmas ir mityba</t>
  </si>
  <si>
    <t>Tekstilė ir apranga</t>
  </si>
  <si>
    <t>Ekonomikos teorijos pagrindai</t>
  </si>
  <si>
    <t>Eksperimentas biologijoje. Struktūrinių užduočių atlikimo metodika.</t>
  </si>
  <si>
    <t xml:space="preserve">Fizikos kokybinių, kiekybinių ir eksperimentinių uždavinių sprendimas </t>
  </si>
  <si>
    <t>Pogramavimo praktikumas</t>
  </si>
  <si>
    <t xml:space="preserve">Lietuvių kalba ir literatūra A </t>
  </si>
  <si>
    <t>Lietuvių kalba ir literatūra B</t>
  </si>
  <si>
    <t>Tėvų parašas</t>
  </si>
  <si>
    <t>Visuomenės mokslai</t>
  </si>
  <si>
    <t>Istorija A</t>
  </si>
  <si>
    <t>Matematika A</t>
  </si>
  <si>
    <t>Šokis B</t>
  </si>
  <si>
    <t>Turizmas ir mityba B</t>
  </si>
  <si>
    <t>Tekstilė ir apranga B</t>
  </si>
  <si>
    <t>Aerobika B B</t>
  </si>
  <si>
    <t>Pasirenkamieji dalykai</t>
  </si>
  <si>
    <t>Eksperimentas biologijoje. Struktūrinių užduočių atlikimo metodika</t>
  </si>
  <si>
    <t>Darbas su istorijos šaltiniais ir žemėlapiais</t>
  </si>
  <si>
    <r>
      <t>Išplės-tinis kursas</t>
    </r>
    <r>
      <rPr>
        <b/>
        <sz val="10"/>
        <color indexed="8"/>
        <rFont val="Times New Roman"/>
        <family val="1"/>
      </rPr>
      <t xml:space="preserve"> (A)</t>
    </r>
  </si>
  <si>
    <t>Užsienio kalba (B1 lygis)</t>
  </si>
  <si>
    <t>Teisė</t>
  </si>
  <si>
    <t>Ugdymas karjerai</t>
  </si>
  <si>
    <t>Chemijos eksperimentinių ir struktūrinių uždavinių sprendimas</t>
  </si>
  <si>
    <t>Anglų kalba *(į pamokų skaičių įskaičiuotas anglų k. modulis)</t>
  </si>
  <si>
    <t>PRIVALOMIEJI BENDROJO UGDYMO DALYKŲ KURSAI</t>
  </si>
  <si>
    <t>Užsienio (prancūzų)</t>
  </si>
  <si>
    <t>Užsienio (ispanų)</t>
  </si>
  <si>
    <t>Statyba ir medžio apdirbimas</t>
  </si>
  <si>
    <t>-</t>
  </si>
  <si>
    <t>PATVIRTINTA
Klaipėdos  „Ąžuolyno“ gimnazijos
direktoriaus</t>
  </si>
  <si>
    <t>Brandos darbas</t>
  </si>
  <si>
    <t>Chemijos uždavinių praktikumas</t>
  </si>
  <si>
    <t>Lietuvių k.</t>
  </si>
  <si>
    <t>Rašinio kūrimas</t>
  </si>
  <si>
    <t>Užsienio (rusų k.)</t>
  </si>
  <si>
    <t>Kinų k.</t>
  </si>
  <si>
    <t>Pasirinkta sporto šaka (aerobika)</t>
  </si>
  <si>
    <t>Ekonomika ir verslumas</t>
  </si>
  <si>
    <t>Darbas su istoriniais šaltiniais ir žemėlapiais</t>
  </si>
  <si>
    <t>Senosios civilizacijos, pakeitusios žmonių gyvenimus</t>
  </si>
  <si>
    <t>Olimpiadinių uždavinių sprendimas</t>
  </si>
  <si>
    <t>Gilyn į biologiją</t>
  </si>
  <si>
    <t>Raštingumo įtvirtinimas</t>
  </si>
  <si>
    <t>Tiriamasis-kūrybinis darbas</t>
  </si>
  <si>
    <t>Tiriamasis-kūrybinis</t>
  </si>
  <si>
    <t>Tiriamasis kūrybinis darbas</t>
  </si>
  <si>
    <t>Užsienio kalba (prancūzų)</t>
  </si>
  <si>
    <t>Užsienio kalba (rusų)</t>
  </si>
  <si>
    <t>Užsienio kalba (ispanų)</t>
  </si>
  <si>
    <t>Užsienio kalba (kinų)</t>
  </si>
  <si>
    <t>Užsienio kalba</t>
  </si>
  <si>
    <t>2019–2021 m. m. individualus ugdymo planas (III–IV kl.)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</si>
</sst>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[$€-2]\ ###,000_);[Red]\([$€-2]\ ###,000\)"/>
  </numFmts>
  <fonts count="11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Arial"/>
      <family val="2"/>
    </font>
    <font>
      <b/>
      <sz val="9"/>
      <name val="Wingdings 2"/>
      <family val="1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7"/>
      <name val="Times New Roman"/>
      <family val="1"/>
    </font>
    <font>
      <b/>
      <sz val="10"/>
      <color indexed="8"/>
      <name val="Times New Roman"/>
      <family val="1"/>
    </font>
    <font>
      <b/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7"/>
      <color indexed="9"/>
      <name val="Times New Roman"/>
      <family val="1"/>
    </font>
    <font>
      <sz val="7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0"/>
      <color theme="0"/>
      <name val="Times New Roman"/>
      <family val="1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7"/>
      <color theme="0"/>
      <name val="Times New Roman"/>
      <family val="1"/>
    </font>
    <font>
      <sz val="7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hair"/>
      <bottom style="hair"/>
    </border>
    <border>
      <left/>
      <right style="thin"/>
      <top/>
      <bottom style="thin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double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hair"/>
      <bottom style="hair"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2" borderId="4" applyNumberFormat="0" applyAlignment="0" applyProtection="0"/>
    <xf numFmtId="0" fontId="8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0" fillId="31" borderId="6" applyNumberFormat="0" applyFont="0" applyAlignment="0" applyProtection="0"/>
    <xf numFmtId="0" fontId="8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22" borderId="5" applyNumberFormat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4" fillId="0" borderId="23" xfId="0" applyFont="1" applyBorder="1" applyAlignment="1">
      <alignment horizontal="center" vertical="center" textRotation="90" wrapText="1"/>
    </xf>
    <xf numFmtId="0" fontId="25" fillId="0" borderId="23" xfId="0" applyFont="1" applyBorder="1" applyAlignment="1">
      <alignment horizontal="center" textRotation="90" wrapText="1"/>
    </xf>
    <xf numFmtId="0" fontId="25" fillId="0" borderId="23" xfId="0" applyFont="1" applyBorder="1" applyAlignment="1">
      <alignment textRotation="90" wrapText="1"/>
    </xf>
    <xf numFmtId="0" fontId="23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23" xfId="0" applyFont="1" applyFill="1" applyBorder="1" applyAlignment="1">
      <alignment horizontal="center" textRotation="90" wrapText="1"/>
    </xf>
    <xf numFmtId="0" fontId="14" fillId="0" borderId="25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3" fillId="35" borderId="2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right" vertical="center"/>
    </xf>
    <xf numFmtId="0" fontId="92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right" vertical="center"/>
    </xf>
    <xf numFmtId="0" fontId="93" fillId="0" borderId="0" xfId="0" applyFont="1" applyFill="1" applyBorder="1" applyAlignment="1">
      <alignment horizontal="left" vertical="center"/>
    </xf>
    <xf numFmtId="0" fontId="90" fillId="0" borderId="0" xfId="0" applyFont="1" applyAlignment="1">
      <alignment vertical="center"/>
    </xf>
    <xf numFmtId="0" fontId="94" fillId="33" borderId="0" xfId="0" applyFont="1" applyFill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4" fillId="34" borderId="11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/>
    </xf>
    <xf numFmtId="0" fontId="94" fillId="34" borderId="12" xfId="0" applyFont="1" applyFill="1" applyBorder="1" applyAlignment="1">
      <alignment horizontal="center" vertical="center" wrapText="1"/>
    </xf>
    <xf numFmtId="0" fontId="98" fillId="0" borderId="16" xfId="0" applyFont="1" applyBorder="1" applyAlignment="1">
      <alignment horizontal="left" vertical="center" wrapText="1"/>
    </xf>
    <xf numFmtId="0" fontId="98" fillId="0" borderId="0" xfId="0" applyFont="1" applyFill="1" applyBorder="1" applyAlignment="1">
      <alignment horizontal="left" vertical="center" wrapText="1"/>
    </xf>
    <xf numFmtId="0" fontId="94" fillId="0" borderId="29" xfId="0" applyFont="1" applyBorder="1" applyAlignment="1">
      <alignment vertical="center" wrapText="1"/>
    </xf>
    <xf numFmtId="0" fontId="94" fillId="0" borderId="32" xfId="0" applyFont="1" applyBorder="1" applyAlignment="1">
      <alignment vertical="center" wrapText="1"/>
    </xf>
    <xf numFmtId="0" fontId="98" fillId="0" borderId="11" xfId="0" applyFont="1" applyBorder="1" applyAlignment="1">
      <alignment horizontal="left" vertical="center" wrapText="1"/>
    </xf>
    <xf numFmtId="0" fontId="98" fillId="0" borderId="12" xfId="0" applyFont="1" applyBorder="1" applyAlignment="1">
      <alignment horizontal="left" vertical="center" wrapText="1"/>
    </xf>
    <xf numFmtId="0" fontId="98" fillId="0" borderId="13" xfId="0" applyFont="1" applyBorder="1" applyAlignment="1">
      <alignment horizontal="left" vertical="center" wrapText="1"/>
    </xf>
    <xf numFmtId="0" fontId="94" fillId="34" borderId="13" xfId="0" applyFont="1" applyFill="1" applyBorder="1" applyAlignment="1">
      <alignment horizontal="center" vertical="center" wrapText="1"/>
    </xf>
    <xf numFmtId="0" fontId="94" fillId="34" borderId="21" xfId="0" applyFont="1" applyFill="1" applyBorder="1" applyAlignment="1">
      <alignment horizontal="center" vertical="center" wrapText="1"/>
    </xf>
    <xf numFmtId="0" fontId="94" fillId="34" borderId="24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left" vertical="center" wrapText="1"/>
    </xf>
    <xf numFmtId="0" fontId="94" fillId="34" borderId="33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 wrapText="1"/>
    </xf>
    <xf numFmtId="0" fontId="94" fillId="0" borderId="0" xfId="0" applyFont="1" applyAlignment="1">
      <alignment horizontal="center" vertical="center" wrapText="1"/>
    </xf>
    <xf numFmtId="0" fontId="98" fillId="0" borderId="0" xfId="0" applyFont="1" applyBorder="1" applyAlignment="1">
      <alignment horizontal="left" vertical="center"/>
    </xf>
    <xf numFmtId="0" fontId="98" fillId="0" borderId="0" xfId="0" applyFont="1" applyFill="1" applyBorder="1" applyAlignment="1">
      <alignment horizontal="left" vertical="center"/>
    </xf>
    <xf numFmtId="0" fontId="92" fillId="0" borderId="0" xfId="0" applyFont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9" fillId="0" borderId="0" xfId="0" applyFont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94" fillId="0" borderId="0" xfId="0" applyFont="1" applyBorder="1" applyAlignment="1">
      <alignment/>
    </xf>
    <xf numFmtId="0" fontId="94" fillId="0" borderId="0" xfId="0" applyFont="1" applyFill="1" applyBorder="1" applyAlignment="1">
      <alignment/>
    </xf>
    <xf numFmtId="0" fontId="101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left" vertical="center"/>
    </xf>
    <xf numFmtId="0" fontId="102" fillId="0" borderId="0" xfId="0" applyFont="1" applyFill="1" applyBorder="1" applyAlignment="1">
      <alignment horizontal="left" vertical="center" wrapText="1"/>
    </xf>
    <xf numFmtId="0" fontId="107" fillId="0" borderId="0" xfId="0" applyFont="1" applyFill="1" applyBorder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 vertical="center"/>
    </xf>
    <xf numFmtId="0" fontId="14" fillId="0" borderId="34" xfId="0" applyFont="1" applyBorder="1" applyAlignment="1">
      <alignment horizontal="left" vertical="center" wrapText="1"/>
    </xf>
    <xf numFmtId="0" fontId="112" fillId="0" borderId="34" xfId="0" applyFont="1" applyBorder="1" applyAlignment="1">
      <alignment horizontal="left" vertical="center" wrapText="1"/>
    </xf>
    <xf numFmtId="0" fontId="112" fillId="0" borderId="26" xfId="0" applyFont="1" applyBorder="1" applyAlignment="1">
      <alignment horizontal="center" vertical="center" wrapText="1"/>
    </xf>
    <xf numFmtId="0" fontId="112" fillId="0" borderId="16" xfId="0" applyFont="1" applyBorder="1" applyAlignment="1">
      <alignment horizontal="center" vertical="center" wrapText="1"/>
    </xf>
    <xf numFmtId="0" fontId="112" fillId="0" borderId="27" xfId="0" applyFont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6" fillId="0" borderId="35" xfId="0" applyFont="1" applyBorder="1" applyAlignment="1">
      <alignment vertical="center" textRotation="90"/>
    </xf>
    <xf numFmtId="0" fontId="6" fillId="0" borderId="35" xfId="0" applyFont="1" applyBorder="1" applyAlignment="1">
      <alignment vertical="center"/>
    </xf>
    <xf numFmtId="0" fontId="86" fillId="0" borderId="36" xfId="0" applyFont="1" applyBorder="1" applyAlignment="1">
      <alignment vertical="center" textRotation="90"/>
    </xf>
    <xf numFmtId="0" fontId="90" fillId="0" borderId="0" xfId="0" applyFont="1" applyFill="1" applyBorder="1" applyAlignment="1">
      <alignment horizontal="left" vertical="center"/>
    </xf>
    <xf numFmtId="0" fontId="113" fillId="0" borderId="0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 wrapText="1"/>
    </xf>
    <xf numFmtId="0" fontId="95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 wrapText="1"/>
    </xf>
    <xf numFmtId="0" fontId="114" fillId="0" borderId="0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101" fillId="0" borderId="0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horizontal="right" vertical="center"/>
    </xf>
    <xf numFmtId="0" fontId="99" fillId="0" borderId="0" xfId="0" applyFont="1" applyFill="1" applyBorder="1" applyAlignment="1">
      <alignment vertical="center" wrapText="1"/>
    </xf>
    <xf numFmtId="0" fontId="99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textRotation="90" wrapText="1"/>
    </xf>
    <xf numFmtId="0" fontId="25" fillId="0" borderId="38" xfId="0" applyFont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left" vertical="center" textRotation="90" wrapText="1"/>
    </xf>
    <xf numFmtId="0" fontId="90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textRotation="90" wrapText="1"/>
    </xf>
    <xf numFmtId="0" fontId="9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right" vertical="center" wrapText="1"/>
    </xf>
    <xf numFmtId="0" fontId="10" fillId="0" borderId="35" xfId="0" applyFont="1" applyBorder="1" applyAlignment="1">
      <alignment horizontal="right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90" fillId="0" borderId="0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center"/>
    </xf>
    <xf numFmtId="0" fontId="16" fillId="0" borderId="2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74" fillId="0" borderId="45" xfId="0" applyFont="1" applyBorder="1" applyAlignment="1">
      <alignment horizontal="center" vertical="center" textRotation="90"/>
    </xf>
    <xf numFmtId="0" fontId="74" fillId="0" borderId="46" xfId="0" applyFont="1" applyBorder="1" applyAlignment="1">
      <alignment horizontal="center" vertical="center" textRotation="90"/>
    </xf>
    <xf numFmtId="0" fontId="94" fillId="0" borderId="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97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center" textRotation="90"/>
    </xf>
    <xf numFmtId="0" fontId="24" fillId="0" borderId="23" xfId="0" applyFont="1" applyBorder="1" applyAlignment="1">
      <alignment horizontal="center" vertical="center" wrapText="1"/>
    </xf>
    <xf numFmtId="0" fontId="115" fillId="35" borderId="23" xfId="0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 textRotation="90" wrapText="1"/>
    </xf>
    <xf numFmtId="0" fontId="25" fillId="0" borderId="38" xfId="0" applyFont="1" applyBorder="1" applyAlignment="1">
      <alignment horizontal="center" textRotation="90" wrapText="1"/>
    </xf>
    <xf numFmtId="0" fontId="25" fillId="0" borderId="48" xfId="0" applyFont="1" applyBorder="1" applyAlignment="1">
      <alignment horizontal="center" textRotation="90" wrapText="1"/>
    </xf>
    <xf numFmtId="0" fontId="25" fillId="0" borderId="49" xfId="0" applyFont="1" applyBorder="1" applyAlignment="1">
      <alignment horizontal="center" textRotation="90" wrapText="1"/>
    </xf>
    <xf numFmtId="0" fontId="25" fillId="0" borderId="37" xfId="0" applyFont="1" applyBorder="1" applyAlignment="1">
      <alignment horizontal="center" textRotation="90" wrapText="1"/>
    </xf>
    <xf numFmtId="0" fontId="25" fillId="0" borderId="50" xfId="0" applyFont="1" applyBorder="1" applyAlignment="1">
      <alignment horizontal="center" textRotation="90" wrapText="1"/>
    </xf>
    <xf numFmtId="0" fontId="24" fillId="0" borderId="23" xfId="0" applyFont="1" applyBorder="1" applyAlignment="1">
      <alignment horizontal="center" textRotation="90" wrapText="1"/>
    </xf>
    <xf numFmtId="0" fontId="24" fillId="0" borderId="51" xfId="0" applyFont="1" applyBorder="1" applyAlignment="1">
      <alignment horizontal="center" vertical="center" textRotation="90" wrapText="1"/>
    </xf>
    <xf numFmtId="0" fontId="24" fillId="0" borderId="3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textRotation="90" wrapText="1"/>
    </xf>
    <xf numFmtId="0" fontId="24" fillId="0" borderId="52" xfId="0" applyFont="1" applyBorder="1" applyAlignment="1">
      <alignment horizontal="center" vertical="center" textRotation="90" wrapText="1"/>
    </xf>
    <xf numFmtId="0" fontId="24" fillId="0" borderId="49" xfId="0" applyFont="1" applyBorder="1" applyAlignment="1">
      <alignment horizontal="center" vertical="center" textRotation="90" wrapText="1"/>
    </xf>
    <xf numFmtId="0" fontId="24" fillId="0" borderId="48" xfId="0" applyFont="1" applyFill="1" applyBorder="1" applyAlignment="1">
      <alignment horizontal="center" vertical="center" textRotation="90" wrapText="1"/>
    </xf>
    <xf numFmtId="0" fontId="24" fillId="0" borderId="52" xfId="0" applyFont="1" applyFill="1" applyBorder="1" applyAlignment="1">
      <alignment horizontal="center" vertical="center" textRotation="90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5" fillId="0" borderId="23" xfId="0" applyFont="1" applyBorder="1" applyAlignment="1">
      <alignment horizontal="center" textRotation="90" wrapText="1"/>
    </xf>
    <xf numFmtId="0" fontId="24" fillId="0" borderId="37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dxfs count="58"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ill>
        <patternFill>
          <bgColor indexed="27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ill>
        <patternFill>
          <bgColor indexed="43"/>
        </patternFill>
      </fill>
    </dxf>
    <dxf>
      <font>
        <b/>
        <i val="0"/>
      </font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</font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14</xdr:row>
      <xdr:rowOff>19050</xdr:rowOff>
    </xdr:from>
    <xdr:to>
      <xdr:col>12</xdr:col>
      <xdr:colOff>333375</xdr:colOff>
      <xdr:row>19</xdr:row>
      <xdr:rowOff>161925</xdr:rowOff>
    </xdr:to>
    <xdr:grpSp>
      <xdr:nvGrpSpPr>
        <xdr:cNvPr id="1" name="Grupė 1"/>
        <xdr:cNvGrpSpPr>
          <a:grpSpLocks/>
        </xdr:cNvGrpSpPr>
      </xdr:nvGrpSpPr>
      <xdr:grpSpPr>
        <a:xfrm>
          <a:off x="5429250" y="3743325"/>
          <a:ext cx="657225" cy="1352550"/>
          <a:chOff x="5362575" y="2514600"/>
          <a:chExt cx="657225" cy="1362075"/>
        </a:xfrm>
        <a:solidFill>
          <a:srgbClr val="FFFFFF"/>
        </a:solidFill>
      </xdr:grpSpPr>
    </xdr:grpSp>
    <xdr:clientData/>
  </xdr:twoCellAnchor>
  <xdr:twoCellAnchor>
    <xdr:from>
      <xdr:col>11</xdr:col>
      <xdr:colOff>95250</xdr:colOff>
      <xdr:row>20</xdr:row>
      <xdr:rowOff>9525</xdr:rowOff>
    </xdr:from>
    <xdr:to>
      <xdr:col>12</xdr:col>
      <xdr:colOff>276225</xdr:colOff>
      <xdr:row>25</xdr:row>
      <xdr:rowOff>133350</xdr:rowOff>
    </xdr:to>
    <xdr:grpSp>
      <xdr:nvGrpSpPr>
        <xdr:cNvPr id="9" name="Grupė 2"/>
        <xdr:cNvGrpSpPr>
          <a:grpSpLocks/>
        </xdr:cNvGrpSpPr>
      </xdr:nvGrpSpPr>
      <xdr:grpSpPr>
        <a:xfrm>
          <a:off x="5372100" y="5153025"/>
          <a:ext cx="657225" cy="1171575"/>
          <a:chOff x="5353050" y="3790950"/>
          <a:chExt cx="657225" cy="1175027"/>
        </a:xfrm>
        <a:solidFill>
          <a:srgbClr val="FFFFFF"/>
        </a:solidFill>
      </xdr:grpSpPr>
    </xdr:grpSp>
    <xdr:clientData/>
  </xdr:twoCellAnchor>
  <xdr:twoCellAnchor>
    <xdr:from>
      <xdr:col>11</xdr:col>
      <xdr:colOff>400050</xdr:colOff>
      <xdr:row>37</xdr:row>
      <xdr:rowOff>76200</xdr:rowOff>
    </xdr:from>
    <xdr:to>
      <xdr:col>12</xdr:col>
      <xdr:colOff>95250</xdr:colOff>
      <xdr:row>39</xdr:row>
      <xdr:rowOff>142875</xdr:rowOff>
    </xdr:to>
    <xdr:grpSp>
      <xdr:nvGrpSpPr>
        <xdr:cNvPr id="22" name="Grupė 6"/>
        <xdr:cNvGrpSpPr>
          <a:grpSpLocks/>
        </xdr:cNvGrpSpPr>
      </xdr:nvGrpSpPr>
      <xdr:grpSpPr>
        <a:xfrm>
          <a:off x="5676900" y="8715375"/>
          <a:ext cx="171450" cy="485775"/>
          <a:chOff x="5612294" y="8340590"/>
          <a:chExt cx="175591" cy="569843"/>
        </a:xfrm>
        <a:solidFill>
          <a:srgbClr val="FFFFFF"/>
        </a:solidFill>
      </xdr:grpSpPr>
    </xdr:grpSp>
    <xdr:clientData/>
  </xdr:twoCellAnchor>
  <xdr:twoCellAnchor>
    <xdr:from>
      <xdr:col>11</xdr:col>
      <xdr:colOff>142875</xdr:colOff>
      <xdr:row>32</xdr:row>
      <xdr:rowOff>190500</xdr:rowOff>
    </xdr:from>
    <xdr:to>
      <xdr:col>11</xdr:col>
      <xdr:colOff>323850</xdr:colOff>
      <xdr:row>34</xdr:row>
      <xdr:rowOff>171450</xdr:rowOff>
    </xdr:to>
    <xdr:grpSp>
      <xdr:nvGrpSpPr>
        <xdr:cNvPr id="26" name="Grupė 5"/>
        <xdr:cNvGrpSpPr>
          <a:grpSpLocks/>
        </xdr:cNvGrpSpPr>
      </xdr:nvGrpSpPr>
      <xdr:grpSpPr>
        <a:xfrm>
          <a:off x="5419725" y="7848600"/>
          <a:ext cx="180975" cy="400050"/>
          <a:chOff x="5377484" y="7088972"/>
          <a:chExt cx="180975" cy="3475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43"/>
  <sheetViews>
    <sheetView showGridLines="0" tabSelected="1" zoomScalePageLayoutView="0" workbookViewId="0" topLeftCell="A1">
      <pane ySplit="14" topLeftCell="A69" activePane="bottomLeft" state="frozen"/>
      <selection pane="topLeft" activeCell="A1" sqref="A1"/>
      <selection pane="bottomLeft" activeCell="E74" sqref="E74"/>
    </sheetView>
  </sheetViews>
  <sheetFormatPr defaultColWidth="0" defaultRowHeight="12.75" zeroHeight="1"/>
  <cols>
    <col min="1" max="1" width="2.8515625" style="2" customWidth="1"/>
    <col min="2" max="2" width="3.421875" style="2" customWidth="1"/>
    <col min="3" max="3" width="14.00390625" style="2" customWidth="1"/>
    <col min="4" max="4" width="13.421875" style="2" customWidth="1"/>
    <col min="5" max="5" width="17.8515625" style="2" customWidth="1"/>
    <col min="6" max="8" width="4.28125" style="2" customWidth="1"/>
    <col min="9" max="9" width="5.57421875" style="2" customWidth="1"/>
    <col min="10" max="11" width="4.57421875" style="2" customWidth="1"/>
    <col min="12" max="12" width="7.140625" style="2" customWidth="1"/>
    <col min="13" max="13" width="7.140625" style="133" customWidth="1"/>
    <col min="14" max="14" width="0.9921875" style="134" customWidth="1"/>
    <col min="15" max="15" width="31.28125" style="127" customWidth="1"/>
    <col min="16" max="16" width="7.140625" style="127" customWidth="1"/>
    <col min="17" max="17" width="33.140625" style="127" customWidth="1"/>
    <col min="18" max="18" width="4.00390625" style="176" hidden="1" customWidth="1"/>
    <col min="19" max="19" width="33.57421875" style="201" hidden="1" customWidth="1"/>
    <col min="20" max="21" width="9.421875" style="134" hidden="1" customWidth="1"/>
    <col min="22" max="24" width="11.28125" style="134" hidden="1" customWidth="1"/>
    <col min="25" max="25" width="6.140625" style="202" hidden="1" customWidth="1"/>
    <col min="26" max="64" width="9.421875" style="134" hidden="1" customWidth="1"/>
    <col min="65" max="164" width="9.421875" style="178" hidden="1" customWidth="1"/>
    <col min="165" max="165" width="9.7109375" style="178" hidden="1" customWidth="1"/>
    <col min="166" max="16384" width="9.140625" style="178" hidden="1" customWidth="1"/>
  </cols>
  <sheetData>
    <row r="1" ht="63">
      <c r="Q1" s="195" t="s">
        <v>124</v>
      </c>
    </row>
    <row r="2" ht="9.75" customHeight="1"/>
    <row r="3" spans="1:64" s="177" customFormat="1" ht="18" customHeight="1">
      <c r="A3" s="278" t="s">
        <v>90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126"/>
      <c r="O3" s="127"/>
      <c r="P3" s="127"/>
      <c r="Q3" s="127"/>
      <c r="R3" s="176"/>
      <c r="S3" s="203"/>
      <c r="T3" s="128"/>
      <c r="U3" s="128"/>
      <c r="V3" s="128"/>
      <c r="W3" s="128"/>
      <c r="X3" s="128"/>
      <c r="Y3" s="126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64" s="177" customFormat="1" ht="6" customHeight="1">
      <c r="A4" s="274" t="s">
        <v>146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129"/>
      <c r="O4" s="128"/>
      <c r="P4" s="128"/>
      <c r="Q4" s="127"/>
      <c r="R4" s="176"/>
      <c r="S4" s="203"/>
      <c r="T4" s="128"/>
      <c r="U4" s="128"/>
      <c r="V4" s="128"/>
      <c r="W4" s="128"/>
      <c r="X4" s="128"/>
      <c r="Y4" s="126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1:64" s="177" customFormat="1" ht="16.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129"/>
      <c r="O5" s="130" t="s">
        <v>0</v>
      </c>
      <c r="P5" s="131">
        <f>T70</f>
        <v>0</v>
      </c>
      <c r="Q5" s="132" t="str">
        <f>IF(P5&gt;7,"","Dalykų turi būti ne mažiau kaip 8")</f>
        <v>Dalykų turi būti ne mažiau kaip 8</v>
      </c>
      <c r="R5" s="176"/>
      <c r="S5" s="203"/>
      <c r="T5" s="128"/>
      <c r="U5" s="128"/>
      <c r="V5" s="128"/>
      <c r="W5" s="128"/>
      <c r="X5" s="128"/>
      <c r="Y5" s="126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5:17" ht="6.75" customHeight="1">
      <c r="O6" s="135"/>
      <c r="P6" s="132"/>
      <c r="Q6" s="136"/>
    </row>
    <row r="7" spans="2:17" ht="27.75" customHeight="1">
      <c r="B7" s="4"/>
      <c r="C7" s="5" t="s">
        <v>70</v>
      </c>
      <c r="D7" s="275"/>
      <c r="E7" s="275"/>
      <c r="F7" s="6"/>
      <c r="G7" s="6"/>
      <c r="H7" s="5" t="s">
        <v>71</v>
      </c>
      <c r="I7" s="275"/>
      <c r="J7" s="275"/>
      <c r="K7" s="275"/>
      <c r="L7" s="275"/>
      <c r="M7" s="275"/>
      <c r="N7" s="137"/>
      <c r="O7" s="130" t="s">
        <v>1</v>
      </c>
      <c r="P7" s="131">
        <f>T72</f>
        <v>0</v>
      </c>
      <c r="Q7" s="225" t="str">
        <f>IF((P7&lt;=35)*(P7&gt;=28),"","Pamokų turi būti ne mažiau kaip 28 ir ne daugiau kaip 35")</f>
        <v>Pamokų turi būti ne mažiau kaip 28 ir ne daugiau kaip 35</v>
      </c>
    </row>
    <row r="8" spans="1:17" ht="9.75" customHeight="1">
      <c r="A8" s="7"/>
      <c r="B8" s="8"/>
      <c r="C8" s="9"/>
      <c r="D8" s="10"/>
      <c r="E8" s="10"/>
      <c r="F8" s="10"/>
      <c r="G8" s="10"/>
      <c r="H8" s="9"/>
      <c r="J8" s="9"/>
      <c r="K8" s="9"/>
      <c r="L8" s="11"/>
      <c r="M8" s="138"/>
      <c r="O8" s="135"/>
      <c r="P8" s="132"/>
      <c r="Q8" s="136"/>
    </row>
    <row r="9" spans="2:17" ht="35.25" customHeight="1">
      <c r="B9" s="12"/>
      <c r="C9" s="5" t="s">
        <v>2</v>
      </c>
      <c r="D9" s="98"/>
      <c r="F9" s="5"/>
      <c r="G9" s="5"/>
      <c r="H9" s="5" t="s">
        <v>79</v>
      </c>
      <c r="I9" s="275"/>
      <c r="J9" s="275"/>
      <c r="K9" s="275"/>
      <c r="L9" s="275"/>
      <c r="M9" s="275"/>
      <c r="O9" s="130" t="s">
        <v>4</v>
      </c>
      <c r="P9" s="131">
        <f>T74</f>
        <v>0</v>
      </c>
      <c r="Q9" s="225" t="str">
        <f>IF((P9&lt;=35)*(P9&gt;=28),"","Pamokų turi būti ne mažiau kaip 28 ir ne daugiau kaip 35")</f>
        <v>Pamokų turi būti ne mažiau kaip 28 ir ne daugiau kaip 35</v>
      </c>
    </row>
    <row r="10" spans="2:12" ht="9" customHeight="1">
      <c r="B10" s="12"/>
      <c r="I10" s="5"/>
      <c r="J10" s="14"/>
      <c r="K10" s="14"/>
      <c r="L10" s="13"/>
    </row>
    <row r="11" spans="1:64" s="180" customFormat="1" ht="12.75" customHeight="1">
      <c r="A11" s="80"/>
      <c r="B11" s="63" t="s">
        <v>73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139"/>
      <c r="N11" s="140"/>
      <c r="O11" s="141"/>
      <c r="P11" s="141"/>
      <c r="Q11" s="141"/>
      <c r="R11" s="179"/>
      <c r="S11" s="140"/>
      <c r="T11" s="140"/>
      <c r="U11" s="140"/>
      <c r="V11" s="140"/>
      <c r="W11" s="140"/>
      <c r="X11" s="140"/>
      <c r="Y11" s="204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ht="8.25" customHeight="1">
      <c r="B12" s="15"/>
    </row>
    <row r="13" spans="1:28" ht="24" customHeight="1">
      <c r="A13" s="238" t="s">
        <v>5</v>
      </c>
      <c r="B13" s="238"/>
      <c r="C13" s="279" t="s">
        <v>6</v>
      </c>
      <c r="D13" s="279" t="s">
        <v>7</v>
      </c>
      <c r="E13" s="279"/>
      <c r="F13" s="280" t="s">
        <v>83</v>
      </c>
      <c r="G13" s="280" t="s">
        <v>84</v>
      </c>
      <c r="H13" s="280" t="s">
        <v>85</v>
      </c>
      <c r="I13" s="281" t="s">
        <v>8</v>
      </c>
      <c r="J13" s="279" t="s">
        <v>9</v>
      </c>
      <c r="K13" s="279"/>
      <c r="L13" s="293" t="s">
        <v>47</v>
      </c>
      <c r="M13" s="291" t="s">
        <v>113</v>
      </c>
      <c r="N13" s="142"/>
      <c r="S13" s="284" t="s">
        <v>7</v>
      </c>
      <c r="T13" s="285" t="s">
        <v>10</v>
      </c>
      <c r="U13" s="285" t="s">
        <v>11</v>
      </c>
      <c r="V13" s="284" t="s">
        <v>12</v>
      </c>
      <c r="W13" s="284" t="s">
        <v>13</v>
      </c>
      <c r="X13" s="284" t="s">
        <v>14</v>
      </c>
      <c r="Y13" s="284" t="s">
        <v>8</v>
      </c>
      <c r="Z13" s="284" t="s">
        <v>15</v>
      </c>
      <c r="AA13" s="284" t="s">
        <v>16</v>
      </c>
      <c r="AB13" s="284" t="s">
        <v>17</v>
      </c>
    </row>
    <row r="14" spans="1:28" ht="46.5" customHeight="1">
      <c r="A14" s="238"/>
      <c r="B14" s="238"/>
      <c r="C14" s="279"/>
      <c r="D14" s="279"/>
      <c r="E14" s="279"/>
      <c r="F14" s="280"/>
      <c r="G14" s="280"/>
      <c r="H14" s="280"/>
      <c r="I14" s="281"/>
      <c r="J14" s="72" t="s">
        <v>18</v>
      </c>
      <c r="K14" s="72" t="s">
        <v>19</v>
      </c>
      <c r="L14" s="279"/>
      <c r="M14" s="292"/>
      <c r="N14" s="143"/>
      <c r="S14" s="284"/>
      <c r="T14" s="285"/>
      <c r="U14" s="285"/>
      <c r="V14" s="284"/>
      <c r="W14" s="284"/>
      <c r="X14" s="284"/>
      <c r="Y14" s="284"/>
      <c r="Z14" s="284"/>
      <c r="AA14" s="284"/>
      <c r="AB14" s="284"/>
    </row>
    <row r="15" spans="1:28" ht="16.5" customHeight="1">
      <c r="A15" s="282" t="s">
        <v>119</v>
      </c>
      <c r="B15" s="265">
        <v>1</v>
      </c>
      <c r="C15" s="250" t="s">
        <v>20</v>
      </c>
      <c r="D15" s="286" t="s">
        <v>21</v>
      </c>
      <c r="E15" s="286"/>
      <c r="F15" s="17"/>
      <c r="G15" s="17"/>
      <c r="H15" s="17"/>
      <c r="I15" s="18">
        <f aca="true" t="shared" si="0" ref="I15:I23">Y15</f>
      </c>
      <c r="J15" s="18">
        <f aca="true" t="shared" si="1" ref="J15:K17">AA15</f>
      </c>
      <c r="K15" s="18">
        <f t="shared" si="1"/>
      </c>
      <c r="L15" s="19"/>
      <c r="M15" s="144" t="s">
        <v>22</v>
      </c>
      <c r="N15" s="145"/>
      <c r="O15" s="231" t="str">
        <f>IF(AND(NOT(T15),NOT(T16)),"Privaloma pasirinkti vieną dorinio ugdymo dalyką",IF(AND(T15,T16),"Galima rinktis tik vieną dorinio ugdymo dalyką",""))</f>
        <v>Privaloma pasirinkti vieną dorinio ugdymo dalyką</v>
      </c>
      <c r="P15" s="231"/>
      <c r="Q15" s="231"/>
      <c r="R15" s="181"/>
      <c r="S15" s="205" t="str">
        <f aca="true" t="shared" si="2" ref="S15:S23">D15</f>
        <v>Tikyba</v>
      </c>
      <c r="T15" s="134" t="b">
        <v>0</v>
      </c>
      <c r="V15" s="202">
        <f>IF((T15)*(W15=1),1,0)</f>
        <v>0</v>
      </c>
      <c r="W15" s="202">
        <f>IF(T15=T16,0,1)</f>
        <v>0</v>
      </c>
      <c r="X15" s="202"/>
      <c r="Y15" s="202">
        <f>IF(Z15=2,"B","")</f>
      </c>
      <c r="Z15" s="202">
        <f>IF((T15=TRUE)*(W15=1),2,0)</f>
        <v>0</v>
      </c>
      <c r="AA15" s="202">
        <f>IF(Z15=2,1,"")</f>
      </c>
      <c r="AB15" s="202">
        <f>IF(Z15=2,1,"")</f>
      </c>
    </row>
    <row r="16" spans="1:28" ht="16.5" customHeight="1">
      <c r="A16" s="282"/>
      <c r="B16" s="248"/>
      <c r="C16" s="250"/>
      <c r="D16" s="287" t="s">
        <v>23</v>
      </c>
      <c r="E16" s="287"/>
      <c r="F16" s="20"/>
      <c r="G16" s="20"/>
      <c r="H16" s="20"/>
      <c r="I16" s="21">
        <f t="shared" si="0"/>
      </c>
      <c r="J16" s="21">
        <f t="shared" si="1"/>
      </c>
      <c r="K16" s="21">
        <f t="shared" si="1"/>
      </c>
      <c r="L16" s="22"/>
      <c r="M16" s="147" t="s">
        <v>22</v>
      </c>
      <c r="N16" s="145"/>
      <c r="O16" s="231"/>
      <c r="P16" s="231"/>
      <c r="Q16" s="231"/>
      <c r="R16" s="181"/>
      <c r="S16" s="205" t="str">
        <f t="shared" si="2"/>
        <v>Etika</v>
      </c>
      <c r="T16" s="134" t="b">
        <v>0</v>
      </c>
      <c r="V16" s="202">
        <f>IF((T16)*(W16=1),1,0)</f>
        <v>0</v>
      </c>
      <c r="W16" s="202">
        <f>IF(T15=T16,0,1)</f>
        <v>0</v>
      </c>
      <c r="X16" s="202"/>
      <c r="Y16" s="202">
        <f>IF(Z16=2,"B","")</f>
      </c>
      <c r="Z16" s="202">
        <f>IF((T16=TRUE)*(W16=1),2,0)</f>
        <v>0</v>
      </c>
      <c r="AA16" s="202">
        <f>IF(Z16=2,1,"")</f>
      </c>
      <c r="AB16" s="202">
        <f>IF(Z16=2,1,"")</f>
      </c>
    </row>
    <row r="17" spans="1:28" ht="16.5" customHeight="1">
      <c r="A17" s="282"/>
      <c r="B17" s="120">
        <v>2</v>
      </c>
      <c r="C17" s="104" t="s">
        <v>48</v>
      </c>
      <c r="D17" s="276" t="s">
        <v>74</v>
      </c>
      <c r="E17" s="277"/>
      <c r="F17" s="64"/>
      <c r="G17" s="64"/>
      <c r="H17" s="64"/>
      <c r="I17" s="91">
        <f t="shared" si="0"/>
      </c>
      <c r="J17" s="91">
        <f t="shared" si="1"/>
      </c>
      <c r="K17" s="91">
        <f t="shared" si="1"/>
      </c>
      <c r="L17" s="65"/>
      <c r="M17" s="148"/>
      <c r="N17" s="149"/>
      <c r="O17" s="231" t="str">
        <f>IF(AND(NOT(T17),NOT(U17)),"Privaloma pasirinkti lietuvių k. B arba A kursą.",IF(AND(T17,U17),"Galima rinktis tik A arba B kursą",""))</f>
        <v>Privaloma pasirinkti lietuvių k. B arba A kursą.</v>
      </c>
      <c r="P17" s="231"/>
      <c r="Q17" s="231"/>
      <c r="S17" s="205" t="str">
        <f t="shared" si="2"/>
        <v>Lietuvių kalba ir literatūra</v>
      </c>
      <c r="T17" s="134" t="b">
        <v>0</v>
      </c>
      <c r="U17" s="134" t="b">
        <v>0</v>
      </c>
      <c r="V17" s="202">
        <f>IF((T17+U17)*NOT(T17*U17),1,0)</f>
        <v>0</v>
      </c>
      <c r="Y17" s="202">
        <f>IF((T17=TRUE)*(Z17=8),"B",IF((U17=TRUE)*(Z17=12),"A",""))</f>
      </c>
      <c r="Z17" s="202">
        <f>IF((T17=TRUE)*(U17=FALSE),8,IF((T17=FALSE)*(U17=TRUE),12,0))</f>
        <v>0</v>
      </c>
      <c r="AA17" s="134">
        <f>IF(Z17=0,"",IF(Z17=8,4,5))</f>
      </c>
      <c r="AB17" s="202">
        <f>IF(Z17=0,"",IF(Z17=8,4,5))</f>
      </c>
    </row>
    <row r="18" spans="1:28" ht="29.25" customHeight="1">
      <c r="A18" s="282"/>
      <c r="B18" s="248">
        <v>3</v>
      </c>
      <c r="C18" s="250" t="s">
        <v>145</v>
      </c>
      <c r="D18" s="288" t="s">
        <v>118</v>
      </c>
      <c r="E18" s="289"/>
      <c r="F18" s="108"/>
      <c r="G18" s="18"/>
      <c r="H18" s="18"/>
      <c r="I18" s="18">
        <f t="shared" si="0"/>
      </c>
      <c r="J18" s="18">
        <f aca="true" t="shared" si="3" ref="J18:J30">AA18</f>
      </c>
      <c r="K18" s="18">
        <f aca="true" t="shared" si="4" ref="K18:K30">AB18</f>
      </c>
      <c r="L18" s="109"/>
      <c r="M18" s="150"/>
      <c r="N18" s="149"/>
      <c r="O18" s="268" t="str">
        <f>IF(SUM(X18:X20)=0,"Privaloma pasirinkti užsienio kalbą.",IF(X18+X19+X20&gt;1,"Galima pasirinkti tik vieną privalomąją užsienio kalbą. Norėdami mokytis daugiau užsienio kalbų, pasirinkite pasirenkamąją (arba pradedantiesiems) užsienio kalbą. Žr. Nr. 9",""))</f>
        <v>Privaloma pasirinkti užsienio kalbą.</v>
      </c>
      <c r="P18" s="268"/>
      <c r="Q18" s="268"/>
      <c r="R18" s="182"/>
      <c r="S18" s="205" t="str">
        <f t="shared" si="2"/>
        <v>Anglų kalba *(į pamokų skaičių įskaičiuotas anglų k. modulis)</v>
      </c>
      <c r="U18" s="134" t="b">
        <v>0</v>
      </c>
      <c r="V18" s="202">
        <f>IF((U18)*(W18=1),1,0)</f>
        <v>0</v>
      </c>
      <c r="W18" s="202">
        <f>IF(SUM($X$18:$X$20)=1,1,0)</f>
        <v>0</v>
      </c>
      <c r="X18" s="202">
        <f>IF(U18,1,0)</f>
        <v>0</v>
      </c>
      <c r="Y18" s="202">
        <f>IF(Z18=0,"","B2")</f>
      </c>
      <c r="Z18" s="202">
        <f>IF((U18=TRUE)*(W18=1),8,0)</f>
        <v>0</v>
      </c>
      <c r="AA18" s="202">
        <f>IF(Z18=0,"",4)</f>
      </c>
      <c r="AB18" s="202">
        <f>IF(Z18=0,"",4)</f>
      </c>
    </row>
    <row r="19" spans="1:28" ht="16.5" customHeight="1">
      <c r="A19" s="282"/>
      <c r="B19" s="248"/>
      <c r="C19" s="250"/>
      <c r="D19" s="249" t="s">
        <v>42</v>
      </c>
      <c r="E19" s="249"/>
      <c r="F19" s="106"/>
      <c r="G19" s="85"/>
      <c r="H19" s="85"/>
      <c r="I19" s="87">
        <f t="shared" si="0"/>
      </c>
      <c r="J19" s="85">
        <f>AA19</f>
      </c>
      <c r="K19" s="85">
        <f>AB19</f>
      </c>
      <c r="L19" s="107"/>
      <c r="M19" s="151"/>
      <c r="N19" s="149"/>
      <c r="O19" s="268"/>
      <c r="P19" s="268"/>
      <c r="Q19" s="268"/>
      <c r="R19" s="182"/>
      <c r="S19" s="205" t="str">
        <f t="shared" si="2"/>
        <v>Prancūzų kalba</v>
      </c>
      <c r="U19" s="134" t="b">
        <v>0</v>
      </c>
      <c r="V19" s="202">
        <f>IF((U19)*(W19=1),1,0)</f>
        <v>0</v>
      </c>
      <c r="W19" s="202">
        <f>IF(SUM($X$18:$X$20)=1,1,0)</f>
        <v>0</v>
      </c>
      <c r="X19" s="202">
        <f>IF(U19,1,0)</f>
        <v>0</v>
      </c>
      <c r="Y19" s="202">
        <f>IF(Z19=0,"","B2")</f>
      </c>
      <c r="Z19" s="202">
        <f>IF((U19=TRUE)*(W19=1),6,0)</f>
        <v>0</v>
      </c>
      <c r="AA19" s="202">
        <f>IF(Z19=0,"",3)</f>
      </c>
      <c r="AB19" s="202">
        <f>IF(Z19=0,"",3)</f>
      </c>
    </row>
    <row r="20" spans="1:28" ht="16.5" customHeight="1">
      <c r="A20" s="282"/>
      <c r="B20" s="248"/>
      <c r="C20" s="250"/>
      <c r="D20" s="287" t="s">
        <v>25</v>
      </c>
      <c r="E20" s="287"/>
      <c r="F20" s="20"/>
      <c r="G20" s="20"/>
      <c r="H20" s="20"/>
      <c r="I20" s="21">
        <f t="shared" si="0"/>
      </c>
      <c r="J20" s="21">
        <f t="shared" si="3"/>
      </c>
      <c r="K20" s="21">
        <f t="shared" si="4"/>
      </c>
      <c r="L20" s="254"/>
      <c r="M20" s="255"/>
      <c r="N20" s="149"/>
      <c r="O20" s="268"/>
      <c r="P20" s="268"/>
      <c r="Q20" s="268"/>
      <c r="R20" s="182"/>
      <c r="S20" s="205" t="str">
        <f t="shared" si="2"/>
        <v>Vokiečių kalba</v>
      </c>
      <c r="U20" s="134" t="b">
        <v>0</v>
      </c>
      <c r="V20" s="202">
        <f>IF((U20)*(W20=1),1,0)</f>
        <v>0</v>
      </c>
      <c r="W20" s="202">
        <f>IF(SUM($X$18:$X$20)=1,1,0)</f>
        <v>0</v>
      </c>
      <c r="X20" s="202">
        <f>IF(U20,1,0)</f>
        <v>0</v>
      </c>
      <c r="Y20" s="202">
        <f>IF(Z20=0,"","B2")</f>
      </c>
      <c r="Z20" s="202">
        <f>IF((U20=TRUE)*(W20=1),6,0)</f>
        <v>0</v>
      </c>
      <c r="AA20" s="202">
        <f>IF(Z20=0,"",3)</f>
      </c>
      <c r="AB20" s="202">
        <f>IF(Z20=0,"",3)</f>
      </c>
    </row>
    <row r="21" spans="1:28" ht="16.5" customHeight="1">
      <c r="A21" s="282"/>
      <c r="B21" s="248">
        <v>4</v>
      </c>
      <c r="C21" s="250" t="s">
        <v>92</v>
      </c>
      <c r="D21" s="110" t="s">
        <v>26</v>
      </c>
      <c r="E21" s="111"/>
      <c r="F21" s="108"/>
      <c r="G21" s="18"/>
      <c r="H21" s="18"/>
      <c r="I21" s="18">
        <f t="shared" si="0"/>
      </c>
      <c r="J21" s="18">
        <f t="shared" si="3"/>
      </c>
      <c r="K21" s="18">
        <f t="shared" si="4"/>
      </c>
      <c r="L21" s="112"/>
      <c r="M21" s="152"/>
      <c r="N21" s="149"/>
      <c r="O21" s="268" t="str">
        <f>IF(SUM(X21:X22)=0,"Privaloma pasirinkti bent vieną iš visuomenės mokslų.",IF(OR(X21=2,X22=2),"Galima rinktis tik A arba B kursą",""))</f>
        <v>Privaloma pasirinkti bent vieną iš visuomenės mokslų.</v>
      </c>
      <c r="P21" s="268"/>
      <c r="Q21" s="268"/>
      <c r="R21" s="181"/>
      <c r="S21" s="205" t="str">
        <f t="shared" si="2"/>
        <v>Istorija</v>
      </c>
      <c r="T21" s="134" t="b">
        <v>0</v>
      </c>
      <c r="U21" s="134" t="b">
        <v>0</v>
      </c>
      <c r="V21" s="202">
        <f aca="true" t="shared" si="5" ref="V21:V26">IF((T21+U21)*NOT(T21*U21),1,0)</f>
        <v>0</v>
      </c>
      <c r="W21" s="202">
        <f>IF($V$21+$V$22&gt;0,1,0)</f>
        <v>0</v>
      </c>
      <c r="X21" s="202">
        <f aca="true" t="shared" si="6" ref="X21:X26">IF((T21=U21)*(T21=TRUE)*(U21=TRUE),2,IF((T21=U21),0,1))</f>
        <v>0</v>
      </c>
      <c r="Y21" s="202">
        <f>IF(Z21=4,"B",IF(Z21=6,"A",""))</f>
      </c>
      <c r="Z21" s="202">
        <f>IF((T21=TRUE)*(U21=FALSE)*(W21=1),4,IF((T21=FALSE)*(U21=TRUE)*(W21=1),6,0))</f>
        <v>0</v>
      </c>
      <c r="AA21" s="202">
        <f>IF(Z21=0,"",IF(Z21=4,2,3))</f>
      </c>
      <c r="AB21" s="202">
        <f>IF(Z21=0,"",IF(Z21=4,2,3))</f>
      </c>
    </row>
    <row r="22" spans="1:28" ht="16.5" customHeight="1">
      <c r="A22" s="282"/>
      <c r="B22" s="248"/>
      <c r="C22" s="250"/>
      <c r="D22" s="287" t="s">
        <v>27</v>
      </c>
      <c r="E22" s="287"/>
      <c r="F22" s="20"/>
      <c r="G22" s="20"/>
      <c r="H22" s="20"/>
      <c r="I22" s="21">
        <f t="shared" si="0"/>
      </c>
      <c r="J22" s="21">
        <f t="shared" si="3"/>
      </c>
      <c r="K22" s="21">
        <f t="shared" si="4"/>
      </c>
      <c r="L22" s="22"/>
      <c r="M22" s="153"/>
      <c r="N22" s="149"/>
      <c r="O22" s="268"/>
      <c r="P22" s="268"/>
      <c r="Q22" s="268"/>
      <c r="R22" s="181"/>
      <c r="S22" s="205" t="str">
        <f t="shared" si="2"/>
        <v>Geografija</v>
      </c>
      <c r="T22" s="134" t="b">
        <v>0</v>
      </c>
      <c r="U22" s="134" t="b">
        <v>0</v>
      </c>
      <c r="V22" s="202">
        <f t="shared" si="5"/>
        <v>0</v>
      </c>
      <c r="W22" s="202">
        <f>IF($V$21+$V$22&gt;0,1,0)</f>
        <v>0</v>
      </c>
      <c r="X22" s="202">
        <f t="shared" si="6"/>
        <v>0</v>
      </c>
      <c r="Y22" s="202">
        <f>IF(Z22=4,"B",IF(Z22=6,"A",""))</f>
      </c>
      <c r="Z22" s="202">
        <f>IF((T22=TRUE)*(U22=FALSE)*(W22=1),4,IF((T22=FALSE)*(U22=TRUE)*(W22=1),6,0))</f>
        <v>0</v>
      </c>
      <c r="AA22" s="202">
        <f>IF(Z22=0,"",IF(Z22=4,2,3))</f>
      </c>
      <c r="AB22" s="202">
        <f>IF(Z22=0,"",IF(Z22=4,2,3))</f>
      </c>
    </row>
    <row r="23" spans="1:28" ht="16.5" customHeight="1">
      <c r="A23" s="282"/>
      <c r="B23" s="120">
        <v>5</v>
      </c>
      <c r="C23" s="104" t="s">
        <v>28</v>
      </c>
      <c r="D23" s="100" t="s">
        <v>28</v>
      </c>
      <c r="E23" s="101"/>
      <c r="F23" s="99"/>
      <c r="G23" s="91"/>
      <c r="H23" s="91"/>
      <c r="I23" s="92">
        <f t="shared" si="0"/>
      </c>
      <c r="J23" s="91">
        <f t="shared" si="3"/>
      </c>
      <c r="K23" s="91">
        <f t="shared" si="4"/>
      </c>
      <c r="L23" s="105"/>
      <c r="M23" s="148"/>
      <c r="N23" s="149"/>
      <c r="O23" s="231" t="str">
        <f>IF(AND(NOT(T23),NOT(U23)),"Privaloma pasirinkti matematikos A arba B kursą",IF(AND(T23,U23),"Galima rinktis tik A arba B kursą",""))</f>
        <v>Privaloma pasirinkti matematikos A arba B kursą</v>
      </c>
      <c r="P23" s="231"/>
      <c r="Q23" s="231"/>
      <c r="S23" s="205" t="str">
        <f t="shared" si="2"/>
        <v>Matematika</v>
      </c>
      <c r="T23" s="134" t="b">
        <v>0</v>
      </c>
      <c r="U23" s="134" t="b">
        <v>0</v>
      </c>
      <c r="V23" s="202">
        <f t="shared" si="5"/>
        <v>0</v>
      </c>
      <c r="W23" s="202">
        <f>IF($V$21+$V$22&gt;0,1,0)</f>
        <v>0</v>
      </c>
      <c r="X23" s="202">
        <f t="shared" si="6"/>
        <v>0</v>
      </c>
      <c r="Y23" s="202">
        <f>IF((T23=TRUE)*(Z23=6),"B",IF((U23=TRUE)*(Z23=12),"A",""))</f>
      </c>
      <c r="Z23" s="202">
        <f>IF((T23=TRUE)*(U23=FALSE),6,IF((T23=FALSE)*(U23=TRUE),12,0))</f>
        <v>0</v>
      </c>
      <c r="AA23" s="134">
        <f>IF(Z23=0,"",IF(Z23=6,4,6))</f>
      </c>
      <c r="AB23" s="202">
        <f>IF(Z23=0,"",IF(Z23=6,4,6))</f>
      </c>
    </row>
    <row r="24" spans="1:28" ht="16.5" customHeight="1">
      <c r="A24" s="282"/>
      <c r="B24" s="248">
        <v>6</v>
      </c>
      <c r="C24" s="250" t="s">
        <v>29</v>
      </c>
      <c r="D24" s="286" t="s">
        <v>30</v>
      </c>
      <c r="E24" s="286"/>
      <c r="F24" s="17"/>
      <c r="G24" s="17"/>
      <c r="H24" s="17"/>
      <c r="I24" s="26">
        <f aca="true" t="shared" si="7" ref="I24:I35">Y24</f>
      </c>
      <c r="J24" s="18">
        <f t="shared" si="3"/>
      </c>
      <c r="K24" s="18">
        <f t="shared" si="4"/>
      </c>
      <c r="L24" s="19"/>
      <c r="M24" s="152"/>
      <c r="N24" s="149"/>
      <c r="O24" s="231" t="str">
        <f>IF(SUM(X24:X26)=0,"Privaloma pasirinkti bent vieną iš gamtos mokslų",IF(OR(X24=2,X25=2,X26=2),"Galima rinktis tik A arba B kursą",""))</f>
        <v>Privaloma pasirinkti bent vieną iš gamtos mokslų</v>
      </c>
      <c r="P24" s="231"/>
      <c r="Q24" s="231"/>
      <c r="R24" s="181"/>
      <c r="S24" s="205" t="str">
        <f aca="true" t="shared" si="8" ref="S24:S35">D24</f>
        <v>Biologija</v>
      </c>
      <c r="T24" s="134" t="b">
        <v>0</v>
      </c>
      <c r="U24" s="134" t="b">
        <v>0</v>
      </c>
      <c r="V24" s="202">
        <f t="shared" si="5"/>
        <v>0</v>
      </c>
      <c r="W24" s="202">
        <f>IF(((V24=1)+(V25=1)+(V26=1))*((X24=1)+(X24=0))*((X25=1)+(X25=0))*((X25=1)+(X25=0)),1,0)</f>
        <v>0</v>
      </c>
      <c r="X24" s="202">
        <f t="shared" si="6"/>
        <v>0</v>
      </c>
      <c r="Y24" s="202">
        <f>IF(Z24=4,"B",IF(Z24=6,"A",""))</f>
      </c>
      <c r="Z24" s="202">
        <f>IF((T24=TRUE)*(U24=FALSE),4,IF((T24=FALSE)*(U24=TRUE),6,0))</f>
        <v>0</v>
      </c>
      <c r="AA24" s="202">
        <f>IF(Z24=0,"",IF(Z24=4,2,3))</f>
      </c>
      <c r="AB24" s="202">
        <f>IF(Z24=0,"",IF(Z24=4,2,3))</f>
      </c>
    </row>
    <row r="25" spans="1:28" ht="16.5" customHeight="1">
      <c r="A25" s="282"/>
      <c r="B25" s="248"/>
      <c r="C25" s="250"/>
      <c r="D25" s="249" t="s">
        <v>32</v>
      </c>
      <c r="E25" s="249"/>
      <c r="F25" s="23"/>
      <c r="G25" s="23"/>
      <c r="H25" s="23"/>
      <c r="I25" s="27">
        <f t="shared" si="7"/>
      </c>
      <c r="J25" s="28">
        <f t="shared" si="3"/>
      </c>
      <c r="K25" s="28">
        <f t="shared" si="4"/>
      </c>
      <c r="L25" s="29"/>
      <c r="M25" s="154"/>
      <c r="N25" s="149"/>
      <c r="O25" s="231"/>
      <c r="P25" s="231"/>
      <c r="Q25" s="231"/>
      <c r="R25" s="181"/>
      <c r="S25" s="205" t="str">
        <f t="shared" si="8"/>
        <v>Chemija</v>
      </c>
      <c r="T25" s="134" t="b">
        <v>0</v>
      </c>
      <c r="U25" s="134" t="b">
        <v>0</v>
      </c>
      <c r="V25" s="202">
        <f t="shared" si="5"/>
        <v>0</v>
      </c>
      <c r="W25" s="202">
        <f>IF(((V24=1)+(V25=1)+(V26=1))*((X24=1)+(X24=0))*((X25=1)+(X25=0))*((X25=1)+(X25=0)),1,0)</f>
        <v>0</v>
      </c>
      <c r="X25" s="202">
        <f t="shared" si="6"/>
        <v>0</v>
      </c>
      <c r="Y25" s="202">
        <f>IF(Z25=4,"B",IF(Z25=7,"A",""))</f>
      </c>
      <c r="Z25" s="202">
        <f>IF((T25=TRUE)*(U25=FALSE),4,IF((T25=FALSE)*(U25=TRUE),7,0))</f>
        <v>0</v>
      </c>
      <c r="AA25" s="202">
        <f>IF(Z25=0,"",IF(Z25=4,2,3))</f>
      </c>
      <c r="AB25" s="202">
        <f>IF(Z25=0,"",IF(Z25=4,2,3))</f>
      </c>
    </row>
    <row r="26" spans="1:28" ht="16.5" customHeight="1">
      <c r="A26" s="282"/>
      <c r="B26" s="248"/>
      <c r="C26" s="250"/>
      <c r="D26" s="287" t="s">
        <v>31</v>
      </c>
      <c r="E26" s="287"/>
      <c r="F26" s="20"/>
      <c r="G26" s="20"/>
      <c r="H26" s="20"/>
      <c r="I26" s="30">
        <f t="shared" si="7"/>
      </c>
      <c r="J26" s="21">
        <f t="shared" si="3"/>
      </c>
      <c r="K26" s="21">
        <f t="shared" si="4"/>
      </c>
      <c r="L26" s="22"/>
      <c r="M26" s="153"/>
      <c r="N26" s="149"/>
      <c r="O26" s="231"/>
      <c r="P26" s="231"/>
      <c r="Q26" s="231"/>
      <c r="R26" s="181"/>
      <c r="S26" s="205" t="str">
        <f t="shared" si="8"/>
        <v>Fizika</v>
      </c>
      <c r="T26" s="134" t="b">
        <v>0</v>
      </c>
      <c r="U26" s="134" t="b">
        <v>0</v>
      </c>
      <c r="V26" s="202">
        <f t="shared" si="5"/>
        <v>0</v>
      </c>
      <c r="W26" s="202">
        <f>IF(((V24=1)+(V25=1)+(V26=1))*((X24=1)+(X24=0))*((X25=1)+(X25=0))*((X25=1)+(X25=0)),1,0)</f>
        <v>0</v>
      </c>
      <c r="X26" s="202">
        <f t="shared" si="6"/>
        <v>0</v>
      </c>
      <c r="Y26" s="202">
        <f>IF(Z26=4,"B",IF(Z26=6,"A",""))</f>
      </c>
      <c r="Z26" s="202">
        <f>IF((T26=TRUE)*(U26=FALSE),4,IF((T26=FALSE)*(U26=TRUE),6,0))</f>
        <v>0</v>
      </c>
      <c r="AA26" s="202">
        <f>IF(Z26=0,"",IF(Z26=4,2,4))</f>
      </c>
      <c r="AB26" s="202">
        <f>IF(Z26=0,"",IF(Z26=4,2,4))</f>
      </c>
    </row>
    <row r="27" spans="1:28" ht="16.5" customHeight="1">
      <c r="A27" s="282"/>
      <c r="B27" s="248">
        <v>7</v>
      </c>
      <c r="C27" s="250" t="s">
        <v>33</v>
      </c>
      <c r="D27" s="286" t="s">
        <v>34</v>
      </c>
      <c r="E27" s="286"/>
      <c r="F27" s="17"/>
      <c r="G27" s="17"/>
      <c r="H27" s="17"/>
      <c r="I27" s="18">
        <f t="shared" si="7"/>
      </c>
      <c r="J27" s="18">
        <f t="shared" si="3"/>
      </c>
      <c r="K27" s="18">
        <f t="shared" si="4"/>
      </c>
      <c r="L27" s="19"/>
      <c r="M27" s="155" t="s">
        <v>22</v>
      </c>
      <c r="N27" s="145"/>
      <c r="O27" s="231" t="str">
        <f>IF(SUM(X27:X33)=0,"Privaloma pasirinkti bent vieną iš menų ir technologijų mokslų",IF(SUM(X31:X33)&gt;1,"Galima pasirinkti tik vieną technologijų dalyką",IF(SUM(X27:X30)&gt;1,"Galima pasirinkti tik vieną menų dalyką","")))</f>
        <v>Privaloma pasirinkti bent vieną iš menų ir technologijų mokslų</v>
      </c>
      <c r="P27" s="231"/>
      <c r="Q27" s="231"/>
      <c r="R27" s="181"/>
      <c r="S27" s="205" t="str">
        <f t="shared" si="8"/>
        <v>Dailė</v>
      </c>
      <c r="T27" s="134" t="b">
        <v>0</v>
      </c>
      <c r="V27" s="202">
        <f>IF((W27=1)*(X27=1),1,0)</f>
        <v>0</v>
      </c>
      <c r="W27" s="202">
        <f>IF((SUM($X$27:$X$30)=1),1,0)</f>
        <v>0</v>
      </c>
      <c r="X27" s="202">
        <f>IF(T27,1,0)</f>
        <v>0</v>
      </c>
      <c r="Y27" s="202">
        <f aca="true" t="shared" si="9" ref="Y27:Y35">IF(Z27=4,"B","")</f>
      </c>
      <c r="Z27" s="202">
        <f aca="true" t="shared" si="10" ref="Z27:Z35">IF((T27=TRUE)*(W27=1),4,0)</f>
        <v>0</v>
      </c>
      <c r="AA27" s="202">
        <f aca="true" t="shared" si="11" ref="AA27:AA35">IF(Z27=4,2,"")</f>
      </c>
      <c r="AB27" s="202">
        <f aca="true" t="shared" si="12" ref="AB27:AB35">IF(Z27=4,2,"")</f>
      </c>
    </row>
    <row r="28" spans="1:28" ht="16.5" customHeight="1">
      <c r="A28" s="282"/>
      <c r="B28" s="248"/>
      <c r="C28" s="290"/>
      <c r="D28" s="249" t="s">
        <v>35</v>
      </c>
      <c r="E28" s="249"/>
      <c r="F28" s="23"/>
      <c r="G28" s="23"/>
      <c r="H28" s="23"/>
      <c r="I28" s="28">
        <f t="shared" si="7"/>
      </c>
      <c r="J28" s="28">
        <f t="shared" si="3"/>
      </c>
      <c r="K28" s="28">
        <f t="shared" si="4"/>
      </c>
      <c r="L28" s="29"/>
      <c r="M28" s="155" t="s">
        <v>22</v>
      </c>
      <c r="N28" s="145"/>
      <c r="O28" s="231"/>
      <c r="P28" s="231"/>
      <c r="Q28" s="231"/>
      <c r="R28" s="181"/>
      <c r="S28" s="205" t="str">
        <f t="shared" si="8"/>
        <v>Muzika</v>
      </c>
      <c r="T28" s="134" t="b">
        <v>0</v>
      </c>
      <c r="V28" s="202">
        <f aca="true" t="shared" si="13" ref="V28:V33">IF((W28=1)*(X28=1),1,0)</f>
        <v>0</v>
      </c>
      <c r="W28" s="202">
        <f>IF((SUM($X$27:$X$30)=1),1,0)</f>
        <v>0</v>
      </c>
      <c r="X28" s="202">
        <f aca="true" t="shared" si="14" ref="X28:X35">IF(T28,1,0)</f>
        <v>0</v>
      </c>
      <c r="Y28" s="202">
        <f t="shared" si="9"/>
      </c>
      <c r="Z28" s="202">
        <f t="shared" si="10"/>
        <v>0</v>
      </c>
      <c r="AA28" s="202">
        <f t="shared" si="11"/>
      </c>
      <c r="AB28" s="202">
        <f t="shared" si="12"/>
      </c>
    </row>
    <row r="29" spans="1:28" ht="16.5" customHeight="1">
      <c r="A29" s="282"/>
      <c r="B29" s="248"/>
      <c r="C29" s="290"/>
      <c r="D29" s="249" t="s">
        <v>36</v>
      </c>
      <c r="E29" s="249"/>
      <c r="F29" s="23"/>
      <c r="G29" s="23"/>
      <c r="H29" s="23"/>
      <c r="I29" s="28">
        <f t="shared" si="7"/>
      </c>
      <c r="J29" s="28">
        <f t="shared" si="3"/>
      </c>
      <c r="K29" s="28">
        <f t="shared" si="4"/>
      </c>
      <c r="L29" s="29"/>
      <c r="M29" s="155" t="s">
        <v>22</v>
      </c>
      <c r="N29" s="145"/>
      <c r="O29" s="231"/>
      <c r="P29" s="231"/>
      <c r="Q29" s="231"/>
      <c r="R29" s="181"/>
      <c r="S29" s="205" t="str">
        <f t="shared" si="8"/>
        <v>Teatras</v>
      </c>
      <c r="T29" s="134" t="b">
        <v>0</v>
      </c>
      <c r="V29" s="202">
        <f t="shared" si="13"/>
        <v>0</v>
      </c>
      <c r="W29" s="202">
        <f>IF((SUM($X$27:$X$30)=1),1,0)</f>
        <v>0</v>
      </c>
      <c r="X29" s="202">
        <f t="shared" si="14"/>
        <v>0</v>
      </c>
      <c r="Y29" s="215">
        <f t="shared" si="9"/>
      </c>
      <c r="Z29" s="202">
        <f t="shared" si="10"/>
        <v>0</v>
      </c>
      <c r="AA29" s="202">
        <f t="shared" si="11"/>
      </c>
      <c r="AB29" s="202">
        <f t="shared" si="12"/>
      </c>
    </row>
    <row r="30" spans="1:28" ht="16.5" customHeight="1">
      <c r="A30" s="282"/>
      <c r="B30" s="248"/>
      <c r="C30" s="290"/>
      <c r="D30" s="237" t="s">
        <v>93</v>
      </c>
      <c r="E30" s="237"/>
      <c r="F30" s="23"/>
      <c r="G30" s="23"/>
      <c r="H30" s="23"/>
      <c r="I30" s="23">
        <f t="shared" si="7"/>
      </c>
      <c r="J30" s="23">
        <f t="shared" si="3"/>
      </c>
      <c r="K30" s="23">
        <f t="shared" si="4"/>
      </c>
      <c r="L30" s="67"/>
      <c r="M30" s="147" t="s">
        <v>22</v>
      </c>
      <c r="N30" s="145"/>
      <c r="O30" s="231"/>
      <c r="P30" s="231"/>
      <c r="Q30" s="231"/>
      <c r="R30" s="181"/>
      <c r="S30" s="205" t="str">
        <f t="shared" si="8"/>
        <v>Šokis</v>
      </c>
      <c r="T30" s="134" t="b">
        <v>0</v>
      </c>
      <c r="V30" s="202">
        <f t="shared" si="13"/>
        <v>0</v>
      </c>
      <c r="W30" s="202">
        <f>IF((SUM($X$27:$X$30)=1),1,0)</f>
        <v>0</v>
      </c>
      <c r="X30" s="202">
        <f t="shared" si="14"/>
        <v>0</v>
      </c>
      <c r="Y30" s="215">
        <f t="shared" si="9"/>
      </c>
      <c r="Z30" s="202">
        <f t="shared" si="10"/>
        <v>0</v>
      </c>
      <c r="AA30" s="202">
        <f t="shared" si="11"/>
      </c>
      <c r="AB30" s="202">
        <f t="shared" si="12"/>
      </c>
    </row>
    <row r="31" spans="1:28" ht="16.5" customHeight="1">
      <c r="A31" s="282"/>
      <c r="B31" s="248"/>
      <c r="C31" s="290"/>
      <c r="D31" s="270" t="s">
        <v>94</v>
      </c>
      <c r="E31" s="270"/>
      <c r="F31" s="66"/>
      <c r="G31" s="96"/>
      <c r="H31" s="96"/>
      <c r="I31" s="102">
        <f t="shared" si="7"/>
      </c>
      <c r="J31" s="91">
        <f aca="true" t="shared" si="15" ref="J31:K35">AA31</f>
      </c>
      <c r="K31" s="103">
        <f t="shared" si="15"/>
      </c>
      <c r="L31" s="68"/>
      <c r="M31" s="155" t="s">
        <v>22</v>
      </c>
      <c r="N31" s="145"/>
      <c r="O31" s="231"/>
      <c r="P31" s="231"/>
      <c r="Q31" s="231"/>
      <c r="R31" s="181"/>
      <c r="S31" s="205" t="str">
        <f t="shared" si="8"/>
        <v>Turizmas ir mityba</v>
      </c>
      <c r="T31" s="134" t="b">
        <v>0</v>
      </c>
      <c r="V31" s="202">
        <f t="shared" si="13"/>
        <v>0</v>
      </c>
      <c r="W31" s="202">
        <f>IF((SUM($X$31:$X$33)=1),1,0)</f>
        <v>0</v>
      </c>
      <c r="X31" s="202">
        <f t="shared" si="14"/>
        <v>0</v>
      </c>
      <c r="Y31" s="215">
        <f t="shared" si="9"/>
      </c>
      <c r="Z31" s="202">
        <f t="shared" si="10"/>
        <v>0</v>
      </c>
      <c r="AA31" s="202">
        <f t="shared" si="11"/>
      </c>
      <c r="AB31" s="202">
        <f t="shared" si="12"/>
      </c>
    </row>
    <row r="32" spans="1:28" ht="16.5" customHeight="1">
      <c r="A32" s="282"/>
      <c r="B32" s="248"/>
      <c r="C32" s="290"/>
      <c r="D32" s="246" t="s">
        <v>122</v>
      </c>
      <c r="E32" s="247"/>
      <c r="F32" s="188"/>
      <c r="G32" s="189"/>
      <c r="H32" s="189"/>
      <c r="I32" s="190">
        <f>Y32</f>
      </c>
      <c r="J32" s="191">
        <f>AA32</f>
      </c>
      <c r="K32" s="192">
        <f>AB32</f>
      </c>
      <c r="L32" s="29"/>
      <c r="M32" s="159" t="s">
        <v>123</v>
      </c>
      <c r="N32" s="145"/>
      <c r="O32" s="231"/>
      <c r="P32" s="231"/>
      <c r="Q32" s="231"/>
      <c r="R32" s="181"/>
      <c r="S32" s="205" t="str">
        <f t="shared" si="8"/>
        <v>Statyba ir medžio apdirbimas</v>
      </c>
      <c r="T32" s="134" t="b">
        <v>0</v>
      </c>
      <c r="V32" s="202">
        <f t="shared" si="13"/>
        <v>0</v>
      </c>
      <c r="W32" s="202">
        <f>IF((SUM($X$31:$X$33)=1),1,0)</f>
        <v>0</v>
      </c>
      <c r="X32" s="202">
        <f t="shared" si="14"/>
        <v>0</v>
      </c>
      <c r="Y32" s="202">
        <f t="shared" si="9"/>
      </c>
      <c r="Z32" s="202">
        <f t="shared" si="10"/>
        <v>0</v>
      </c>
      <c r="AA32" s="202">
        <f t="shared" si="11"/>
      </c>
      <c r="AB32" s="202">
        <f t="shared" si="12"/>
      </c>
    </row>
    <row r="33" spans="1:28" ht="16.5" customHeight="1">
      <c r="A33" s="282"/>
      <c r="B33" s="248"/>
      <c r="C33" s="290"/>
      <c r="D33" s="237" t="s">
        <v>95</v>
      </c>
      <c r="E33" s="237"/>
      <c r="F33" s="89"/>
      <c r="G33" s="89"/>
      <c r="H33" s="89"/>
      <c r="I33" s="69">
        <f>Y33</f>
      </c>
      <c r="J33" s="70">
        <f t="shared" si="15"/>
      </c>
      <c r="K33" s="71">
        <f t="shared" si="15"/>
      </c>
      <c r="L33" s="90"/>
      <c r="M33" s="156" t="s">
        <v>22</v>
      </c>
      <c r="N33" s="145"/>
      <c r="O33" s="231"/>
      <c r="P33" s="231"/>
      <c r="Q33" s="231"/>
      <c r="R33" s="181"/>
      <c r="S33" s="205" t="str">
        <f t="shared" si="8"/>
        <v>Tekstilė ir apranga</v>
      </c>
      <c r="T33" s="134" t="b">
        <v>0</v>
      </c>
      <c r="V33" s="202">
        <f t="shared" si="13"/>
        <v>0</v>
      </c>
      <c r="W33" s="202">
        <f>IF((SUM($X$31:$X$33)=1),1,0)</f>
        <v>0</v>
      </c>
      <c r="X33" s="202">
        <f t="shared" si="14"/>
        <v>0</v>
      </c>
      <c r="Y33" s="202">
        <f t="shared" si="9"/>
      </c>
      <c r="Z33" s="202">
        <f t="shared" si="10"/>
        <v>0</v>
      </c>
      <c r="AA33" s="202">
        <f t="shared" si="11"/>
      </c>
      <c r="AB33" s="202">
        <f t="shared" si="12"/>
      </c>
    </row>
    <row r="34" spans="1:28" ht="16.5" customHeight="1">
      <c r="A34" s="282"/>
      <c r="B34" s="248">
        <v>8</v>
      </c>
      <c r="C34" s="250" t="s">
        <v>37</v>
      </c>
      <c r="D34" s="270" t="s">
        <v>38</v>
      </c>
      <c r="E34" s="270"/>
      <c r="F34" s="86"/>
      <c r="G34" s="86"/>
      <c r="H34" s="86"/>
      <c r="I34" s="87">
        <f t="shared" si="7"/>
      </c>
      <c r="J34" s="85">
        <f t="shared" si="15"/>
      </c>
      <c r="K34" s="85">
        <f t="shared" si="15"/>
      </c>
      <c r="L34" s="88"/>
      <c r="M34" s="157" t="s">
        <v>22</v>
      </c>
      <c r="N34" s="145"/>
      <c r="O34" s="231" t="str">
        <f>IF(SUM(X34:X35)=0,"Privaloma pasirinkti vieną kūno kultūros dalyką",IF(SUM(X34:X35)&gt;1,"Galima pasirinkti tik vieną kūno kultūros dalyką",""))</f>
        <v>Privaloma pasirinkti vieną kūno kultūros dalyką</v>
      </c>
      <c r="P34" s="231"/>
      <c r="Q34" s="231"/>
      <c r="R34" s="181"/>
      <c r="S34" s="205" t="str">
        <f t="shared" si="8"/>
        <v>Bendroji kūno kultūra</v>
      </c>
      <c r="T34" s="134" t="b">
        <v>0</v>
      </c>
      <c r="V34" s="202">
        <f>IF((W34=1)*(X34=1),1,0)</f>
        <v>0</v>
      </c>
      <c r="W34" s="202">
        <f>IF((SUM($X$34:$X$35)=1),1,0)</f>
        <v>0</v>
      </c>
      <c r="X34" s="202">
        <f t="shared" si="14"/>
        <v>0</v>
      </c>
      <c r="Y34" s="202">
        <f t="shared" si="9"/>
      </c>
      <c r="Z34" s="202">
        <f t="shared" si="10"/>
        <v>0</v>
      </c>
      <c r="AA34" s="202">
        <f t="shared" si="11"/>
      </c>
      <c r="AB34" s="202">
        <f t="shared" si="12"/>
      </c>
    </row>
    <row r="35" spans="1:28" ht="16.5" customHeight="1" thickBot="1">
      <c r="A35" s="283"/>
      <c r="B35" s="248"/>
      <c r="C35" s="250"/>
      <c r="D35" s="237" t="s">
        <v>131</v>
      </c>
      <c r="E35" s="237"/>
      <c r="F35" s="20"/>
      <c r="G35" s="20"/>
      <c r="H35" s="20"/>
      <c r="I35" s="30">
        <f t="shared" si="7"/>
      </c>
      <c r="J35" s="21">
        <f t="shared" si="15"/>
      </c>
      <c r="K35" s="21">
        <f t="shared" si="15"/>
      </c>
      <c r="L35" s="22"/>
      <c r="M35" s="147" t="s">
        <v>22</v>
      </c>
      <c r="N35" s="145"/>
      <c r="O35" s="231"/>
      <c r="P35" s="231"/>
      <c r="Q35" s="231"/>
      <c r="R35" s="181"/>
      <c r="S35" s="205" t="str">
        <f t="shared" si="8"/>
        <v>Pasirinkta sporto šaka (aerobika)</v>
      </c>
      <c r="T35" s="134" t="b">
        <v>0</v>
      </c>
      <c r="V35" s="202">
        <f>IF((W35=1)*(X35=1),1,0)</f>
        <v>0</v>
      </c>
      <c r="W35" s="202">
        <f>IF((SUM($X$34:$X$35)=1),1,0)</f>
        <v>0</v>
      </c>
      <c r="X35" s="202">
        <f t="shared" si="14"/>
        <v>0</v>
      </c>
      <c r="Y35" s="202">
        <f t="shared" si="9"/>
      </c>
      <c r="Z35" s="202">
        <f t="shared" si="10"/>
        <v>0</v>
      </c>
      <c r="AA35" s="202">
        <f t="shared" si="11"/>
      </c>
      <c r="AB35" s="202">
        <f t="shared" si="12"/>
      </c>
    </row>
    <row r="36" spans="1:28" ht="9.75" customHeight="1">
      <c r="A36" s="199"/>
      <c r="B36" s="33"/>
      <c r="C36" s="34"/>
      <c r="D36" s="35"/>
      <c r="E36" s="35"/>
      <c r="F36" s="35"/>
      <c r="G36" s="35"/>
      <c r="H36" s="35"/>
      <c r="I36" s="34"/>
      <c r="J36" s="34"/>
      <c r="K36" s="34"/>
      <c r="L36" s="36"/>
      <c r="M36" s="145"/>
      <c r="N36" s="145"/>
      <c r="S36" s="205"/>
      <c r="V36" s="202"/>
      <c r="W36" s="202"/>
      <c r="X36" s="202"/>
      <c r="Z36" s="202"/>
      <c r="AA36" s="202"/>
      <c r="AB36" s="202"/>
    </row>
    <row r="37" spans="1:24" ht="18" customHeight="1">
      <c r="A37" s="197"/>
      <c r="B37" s="251" t="s">
        <v>49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158"/>
      <c r="S37" s="205"/>
      <c r="V37" s="202"/>
      <c r="W37" s="202"/>
      <c r="X37" s="202"/>
    </row>
    <row r="38" spans="1:28" ht="16.5" customHeight="1">
      <c r="A38" s="197"/>
      <c r="B38" s="248">
        <v>9</v>
      </c>
      <c r="C38" s="250" t="s">
        <v>114</v>
      </c>
      <c r="D38" s="273" t="s">
        <v>42</v>
      </c>
      <c r="E38" s="273"/>
      <c r="F38" s="17"/>
      <c r="G38" s="17"/>
      <c r="H38" s="17"/>
      <c r="I38" s="26">
        <f aca="true" t="shared" si="16" ref="I38:I43">Y38</f>
      </c>
      <c r="J38" s="18">
        <f aca="true" t="shared" si="17" ref="J38:K41">AA38</f>
      </c>
      <c r="K38" s="18">
        <f t="shared" si="17"/>
      </c>
      <c r="L38" s="252"/>
      <c r="M38" s="253"/>
      <c r="N38" s="149"/>
      <c r="O38" s="268">
        <f>IF(SUM(X38:X40)&gt;1,"Galima pasirinkti tik vieną pasirenkamąją užsienio kalbą.",IF(OR(V38*V19=1,V40*V20=1),"Pasirenkamąja kalba negalima rinktis kalbos, kurią pasirinkote kaip privalomąją",""))</f>
      </c>
      <c r="P38" s="268"/>
      <c r="Q38" s="268"/>
      <c r="R38" s="182"/>
      <c r="S38" s="205" t="str">
        <f aca="true" t="shared" si="18" ref="S38:S43">D38</f>
        <v>Prancūzų kalba</v>
      </c>
      <c r="T38" s="134" t="b">
        <v>0</v>
      </c>
      <c r="U38" s="134" t="b">
        <v>0</v>
      </c>
      <c r="V38" s="206">
        <f>IF((T38+U38)*NOT(T38*U38),1,0)</f>
        <v>0</v>
      </c>
      <c r="W38" s="206">
        <f>IF((V38+V39+V40=1)*(X38+X39+X40=1)+(T38=FALSE)*(T39=FALSE)*(T40=FALSE)*(U38=FALSE)*(U39=FALSE)*(U40=FALSE),1,0)</f>
        <v>1</v>
      </c>
      <c r="X38" s="202">
        <f>IF((T38=U38)*(T38=TRUE)*(U38=TRUE),2,IF((T38=U38),0,1))</f>
        <v>0</v>
      </c>
      <c r="Y38" s="206">
        <f>IF(Z38=6,"B1","")</f>
      </c>
      <c r="Z38" s="206">
        <f>IF((T38=TRUE)*(U38=FALSE)*(W38=1),4,IF((T38=FALSE)*(U38=TRUE)*(W38=1),6,0))</f>
        <v>0</v>
      </c>
      <c r="AA38" s="202">
        <f>IF(Z38=0,"",IF(Z38=4,2,3))</f>
      </c>
      <c r="AB38" s="202">
        <f>IF(Z38=0,"",IF(Z38=4,2,3))</f>
      </c>
    </row>
    <row r="39" spans="1:28" ht="16.5" customHeight="1">
      <c r="A39" s="197"/>
      <c r="B39" s="248"/>
      <c r="C39" s="250"/>
      <c r="D39" s="249" t="s">
        <v>39</v>
      </c>
      <c r="E39" s="249"/>
      <c r="F39" s="23"/>
      <c r="G39" s="23"/>
      <c r="H39" s="23"/>
      <c r="I39" s="27">
        <f t="shared" si="16"/>
      </c>
      <c r="J39" s="28">
        <f t="shared" si="17"/>
      </c>
      <c r="K39" s="28">
        <f t="shared" si="17"/>
      </c>
      <c r="L39" s="256"/>
      <c r="M39" s="257"/>
      <c r="N39" s="149"/>
      <c r="O39" s="268"/>
      <c r="P39" s="268"/>
      <c r="Q39" s="268"/>
      <c r="R39" s="182"/>
      <c r="S39" s="205" t="str">
        <f t="shared" si="18"/>
        <v>Rusų kalba</v>
      </c>
      <c r="T39" s="134" t="b">
        <v>0</v>
      </c>
      <c r="U39" s="134" t="b">
        <v>0</v>
      </c>
      <c r="V39" s="206">
        <f>IF((T39+U39)*NOT(T39*U39),1,0)</f>
        <v>0</v>
      </c>
      <c r="W39" s="206">
        <f>IF((V38+V39+V40=1)*(X38+X39+X40=1)+(T38=FALSE)*(T39=FALSE)*(T40=FALSE)*(U38=FALSE)*(U39=FALSE)*(U40=FALSE),1,0)</f>
        <v>1</v>
      </c>
      <c r="X39" s="202">
        <f>IF((T39=U39)*(T39=TRUE)*(U39=TRUE),2,IF((T39=U39),0,1))</f>
        <v>0</v>
      </c>
      <c r="Y39" s="206">
        <f>IF(Z39=6,"B1","")</f>
      </c>
      <c r="Z39" s="206">
        <f>IF((T39=TRUE)*(U39=FALSE)*(W39=1),4,IF((T39=FALSE)*(U39=TRUE)*(W39=1),6,0))</f>
        <v>0</v>
      </c>
      <c r="AA39" s="202">
        <f>IF(Z39=0,"",IF(Z39=4,2,3))</f>
      </c>
      <c r="AB39" s="202">
        <f>IF(Z39=0,"",IF(Z39=4,2,3))</f>
      </c>
    </row>
    <row r="40" spans="1:28" ht="16.5" customHeight="1">
      <c r="A40" s="197"/>
      <c r="B40" s="248"/>
      <c r="C40" s="250"/>
      <c r="D40" s="270" t="s">
        <v>25</v>
      </c>
      <c r="E40" s="270"/>
      <c r="F40" s="20"/>
      <c r="G40" s="20"/>
      <c r="H40" s="20"/>
      <c r="I40" s="30">
        <f t="shared" si="16"/>
      </c>
      <c r="J40" s="21">
        <f t="shared" si="17"/>
      </c>
      <c r="K40" s="21">
        <f t="shared" si="17"/>
      </c>
      <c r="L40" s="254"/>
      <c r="M40" s="255"/>
      <c r="N40" s="149"/>
      <c r="O40" s="268"/>
      <c r="P40" s="268"/>
      <c r="Q40" s="268"/>
      <c r="R40" s="182"/>
      <c r="S40" s="205" t="str">
        <f t="shared" si="18"/>
        <v>Vokiečių kalba</v>
      </c>
      <c r="T40" s="134" t="b">
        <v>0</v>
      </c>
      <c r="U40" s="134" t="b">
        <v>0</v>
      </c>
      <c r="V40" s="206">
        <f>IF((T40+U40)*NOT(T40*U40),1,0)</f>
        <v>0</v>
      </c>
      <c r="W40" s="206">
        <f>IF((V38+V39+V40=1)*(X38+X39+X40=1)+(T38=FALSE)*(T39=FALSE)*(T40=FALSE)*(U38=FALSE)*(U39=FALSE)*(U40=FALSE),1,0)</f>
        <v>1</v>
      </c>
      <c r="X40" s="202">
        <f>IF((T40=U40)*(T40=TRUE)*(U40=TRUE),2,IF((T40=U40),0,1))</f>
        <v>0</v>
      </c>
      <c r="Y40" s="206">
        <f>IF(Z40=6,"B1","")</f>
      </c>
      <c r="Z40" s="206">
        <f>IF((T40=TRUE)*(U40=FALSE)*(W40=1),4,IF((T40=FALSE)*(U40=TRUE)*(W40=1),6,0))</f>
        <v>0</v>
      </c>
      <c r="AA40" s="202">
        <f>IF(Z40=0,"",IF(Z40=4,2,3))</f>
      </c>
      <c r="AB40" s="202">
        <f>IF(Z40=0,"",IF(Z40=4,2,3))</f>
      </c>
    </row>
    <row r="41" spans="1:28" ht="16.5" customHeight="1">
      <c r="A41" s="197"/>
      <c r="B41" s="248">
        <v>10</v>
      </c>
      <c r="C41" s="250" t="s">
        <v>40</v>
      </c>
      <c r="D41" s="273" t="s">
        <v>40</v>
      </c>
      <c r="E41" s="273"/>
      <c r="F41" s="64"/>
      <c r="G41" s="64"/>
      <c r="H41" s="64"/>
      <c r="I41" s="92">
        <f t="shared" si="16"/>
      </c>
      <c r="J41" s="91">
        <f t="shared" si="17"/>
      </c>
      <c r="K41" s="91">
        <f t="shared" si="17"/>
      </c>
      <c r="L41" s="65"/>
      <c r="M41" s="159" t="s">
        <v>22</v>
      </c>
      <c r="N41" s="149"/>
      <c r="O41" s="269">
        <f>IF(X41=2,"Galima rinktis tik A arba B kursą",IF(X41=3,"Galima rinktis tik vieną A kursą",""))</f>
      </c>
      <c r="P41" s="269"/>
      <c r="Q41" s="269"/>
      <c r="S41" s="205" t="str">
        <f t="shared" si="18"/>
        <v>Informacinės technologijos</v>
      </c>
      <c r="T41" s="134" t="b">
        <v>0</v>
      </c>
      <c r="V41" s="207">
        <f>IF(T41,1,0)</f>
        <v>0</v>
      </c>
      <c r="W41" s="266">
        <f>IF(SUM(V41:V43)=1,1,0)</f>
        <v>0</v>
      </c>
      <c r="X41" s="266">
        <f>IF(V41=1,(IF(SUM(V42:V43)&gt;0,2,1)),(IF(SUM(V42:V43)=1,1,IF(SUM(V42:V43)=0,0,3))))</f>
        <v>0</v>
      </c>
      <c r="Y41" s="202">
        <f>IF(Z41=2,"B",IF(Z41=4,"A",""))</f>
      </c>
      <c r="Z41" s="202">
        <f>IF($W$41,IF($T$41,2,0),0)</f>
        <v>0</v>
      </c>
      <c r="AA41" s="202">
        <f>IF(Z41=0,"",IF(Z41=2,1,2))</f>
      </c>
      <c r="AB41" s="202">
        <f>IF(Z41=0,"",IF(Z41=4,2,1))</f>
      </c>
    </row>
    <row r="42" spans="1:28" ht="16.5" customHeight="1">
      <c r="A42" s="197"/>
      <c r="B42" s="248"/>
      <c r="C42" s="250"/>
      <c r="D42" s="249" t="s">
        <v>77</v>
      </c>
      <c r="E42" s="249"/>
      <c r="F42" s="23"/>
      <c r="G42" s="23"/>
      <c r="H42" s="23"/>
      <c r="I42" s="27">
        <f t="shared" si="16"/>
      </c>
      <c r="J42" s="28">
        <f>AA42</f>
      </c>
      <c r="K42" s="28">
        <f>AB42</f>
      </c>
      <c r="L42" s="31" t="s">
        <v>22</v>
      </c>
      <c r="M42" s="154"/>
      <c r="N42" s="149"/>
      <c r="O42" s="269"/>
      <c r="P42" s="269"/>
      <c r="Q42" s="269"/>
      <c r="S42" s="205" t="str">
        <f t="shared" si="18"/>
        <v>IT (programavimas)</v>
      </c>
      <c r="U42" s="134" t="b">
        <v>0</v>
      </c>
      <c r="V42" s="207">
        <f>IF(U42,1,0)</f>
        <v>0</v>
      </c>
      <c r="W42" s="266"/>
      <c r="X42" s="266"/>
      <c r="Y42" s="202">
        <f>IF(Z42=2,"B",IF(Z42=4,"A",""))</f>
      </c>
      <c r="Z42" s="202">
        <f>IF($W$41,IF(AND($T$41=FALSE,U42),4,0),0)</f>
        <v>0</v>
      </c>
      <c r="AA42" s="202">
        <f>IF(Z42=0,"",IF(Z42=2,1,2))</f>
      </c>
      <c r="AB42" s="202">
        <f>IF(Z42=0,"",IF(Z42=4,2,1))</f>
      </c>
    </row>
    <row r="43" spans="1:28" ht="16.5" customHeight="1">
      <c r="A43" s="198"/>
      <c r="B43" s="248"/>
      <c r="C43" s="250"/>
      <c r="D43" s="249" t="s">
        <v>78</v>
      </c>
      <c r="E43" s="249"/>
      <c r="F43" s="23"/>
      <c r="G43" s="23"/>
      <c r="H43" s="23"/>
      <c r="I43" s="27">
        <f t="shared" si="16"/>
      </c>
      <c r="J43" s="28">
        <f>AA43</f>
      </c>
      <c r="K43" s="28">
        <f>AB43</f>
      </c>
      <c r="L43" s="31" t="s">
        <v>22</v>
      </c>
      <c r="M43" s="154"/>
      <c r="N43" s="149"/>
      <c r="O43" s="269"/>
      <c r="P43" s="269"/>
      <c r="Q43" s="269"/>
      <c r="S43" s="205" t="str">
        <f t="shared" si="18"/>
        <v>IT (elektroninė leidyba)</v>
      </c>
      <c r="U43" s="134" t="b">
        <v>0</v>
      </c>
      <c r="V43" s="207">
        <f>IF(U43,1,0)</f>
        <v>0</v>
      </c>
      <c r="W43" s="266"/>
      <c r="X43" s="266"/>
      <c r="Y43" s="202">
        <f>IF(Z43=2,"B",IF(Z43=4,"A",""))</f>
      </c>
      <c r="Z43" s="202">
        <f>IF($W$41,IF(AND($T$41=FALSE,U43),4,0),0)</f>
        <v>0</v>
      </c>
      <c r="AA43" s="202">
        <f>IF(Z43=0,"",IF(Z43=2,1,2))</f>
      </c>
      <c r="AB43" s="202">
        <f>IF(Z43=0,"",IF(Z43=4,2,1))</f>
      </c>
    </row>
    <row r="44" spans="2:28" ht="18" customHeight="1">
      <c r="B44" s="40"/>
      <c r="C44" s="41"/>
      <c r="D44" s="42"/>
      <c r="E44" s="42"/>
      <c r="F44" s="42"/>
      <c r="G44" s="42"/>
      <c r="H44" s="42"/>
      <c r="I44" s="41"/>
      <c r="J44" s="41"/>
      <c r="K44" s="41"/>
      <c r="L44" s="43"/>
      <c r="M44" s="160"/>
      <c r="N44" s="149"/>
      <c r="S44" s="205"/>
      <c r="V44" s="202"/>
      <c r="W44" s="202"/>
      <c r="X44" s="202"/>
      <c r="Z44" s="202"/>
      <c r="AA44" s="202"/>
      <c r="AB44" s="202"/>
    </row>
    <row r="45" spans="1:28" ht="18.75" customHeight="1">
      <c r="A45" s="32"/>
      <c r="B45" s="251" t="s">
        <v>49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143"/>
      <c r="N45" s="143"/>
      <c r="S45" s="205" t="s">
        <v>41</v>
      </c>
      <c r="V45" s="202"/>
      <c r="W45" s="202"/>
      <c r="X45" s="202"/>
      <c r="Z45" s="202"/>
      <c r="AA45" s="202"/>
      <c r="AB45" s="202"/>
    </row>
    <row r="46" spans="2:28" ht="16.5" customHeight="1">
      <c r="B46" s="16">
        <v>11</v>
      </c>
      <c r="C46" s="267" t="s">
        <v>132</v>
      </c>
      <c r="D46" s="267"/>
      <c r="E46" s="267"/>
      <c r="F46" s="44"/>
      <c r="G46" s="44"/>
      <c r="H46" s="44"/>
      <c r="I46" s="45">
        <f aca="true" t="shared" si="19" ref="I46:I52">Y46</f>
      </c>
      <c r="J46" s="25">
        <f aca="true" t="shared" si="20" ref="J46:K52">AA46</f>
      </c>
      <c r="K46" s="25">
        <f t="shared" si="20"/>
      </c>
      <c r="L46" s="46"/>
      <c r="S46" s="205" t="str">
        <f aca="true" t="shared" si="21" ref="S46:S52">C46</f>
        <v>Ekonomika ir verslumas</v>
      </c>
      <c r="T46" s="134" t="b">
        <v>0</v>
      </c>
      <c r="V46" s="206">
        <f aca="true" t="shared" si="22" ref="V46:V52">IF(T46,1,0)</f>
        <v>0</v>
      </c>
      <c r="W46" s="202"/>
      <c r="X46" s="202"/>
      <c r="Y46" s="202">
        <f>IF(Z46=4,"-","")</f>
      </c>
      <c r="Z46" s="202">
        <f>IF(T46=TRUE,4,0)</f>
        <v>0</v>
      </c>
      <c r="AA46" s="202">
        <f>IF(Z46=4,2,"")</f>
      </c>
      <c r="AB46" s="202">
        <f>IF(Z46=4,2,"")</f>
      </c>
    </row>
    <row r="47" spans="2:28" ht="16.5" customHeight="1">
      <c r="B47" s="16">
        <v>12</v>
      </c>
      <c r="C47" s="267" t="s">
        <v>115</v>
      </c>
      <c r="D47" s="267"/>
      <c r="E47" s="267"/>
      <c r="F47" s="44"/>
      <c r="G47" s="44"/>
      <c r="H47" s="44"/>
      <c r="I47" s="45">
        <f t="shared" si="19"/>
      </c>
      <c r="J47" s="25">
        <f>AA47</f>
      </c>
      <c r="K47" s="25">
        <f>AB47</f>
      </c>
      <c r="L47" s="46"/>
      <c r="S47" s="205" t="str">
        <f t="shared" si="21"/>
        <v>Teisė</v>
      </c>
      <c r="T47" s="134" t="b">
        <v>0</v>
      </c>
      <c r="V47" s="206">
        <f t="shared" si="22"/>
        <v>0</v>
      </c>
      <c r="W47" s="202"/>
      <c r="X47" s="202"/>
      <c r="Y47" s="202">
        <f>IF(Z47=2,"-","")</f>
      </c>
      <c r="Z47" s="202">
        <f aca="true" t="shared" si="23" ref="Z47:Z52">IF(T47=TRUE,2,0)</f>
        <v>0</v>
      </c>
      <c r="AA47" s="202">
        <f>IF(Z47=2,1,"")</f>
      </c>
      <c r="AB47" s="202">
        <f>IF(Z47=2,0,"")</f>
      </c>
    </row>
    <row r="48" spans="2:28" ht="16.5" customHeight="1">
      <c r="B48" s="16">
        <v>13</v>
      </c>
      <c r="C48" s="243" t="s">
        <v>43</v>
      </c>
      <c r="D48" s="244"/>
      <c r="E48" s="245"/>
      <c r="F48" s="44"/>
      <c r="G48" s="44"/>
      <c r="H48" s="44"/>
      <c r="I48" s="45">
        <f t="shared" si="19"/>
      </c>
      <c r="J48" s="25">
        <f t="shared" si="20"/>
      </c>
      <c r="K48" s="25">
        <f t="shared" si="20"/>
      </c>
      <c r="L48" s="46"/>
      <c r="S48" s="205" t="str">
        <f t="shared" si="21"/>
        <v>Psichologija</v>
      </c>
      <c r="T48" s="134" t="b">
        <v>0</v>
      </c>
      <c r="V48" s="206">
        <f t="shared" si="22"/>
        <v>0</v>
      </c>
      <c r="W48" s="202"/>
      <c r="X48" s="202"/>
      <c r="Y48" s="202">
        <f>IF(Z48=2,"-","")</f>
      </c>
      <c r="Z48" s="202">
        <f t="shared" si="23"/>
        <v>0</v>
      </c>
      <c r="AA48" s="202">
        <f>IF(Z48=2,1,"")</f>
      </c>
      <c r="AB48" s="202">
        <f>IF(Z48=2,1,"")</f>
      </c>
    </row>
    <row r="49" spans="2:28" ht="16.5" customHeight="1">
      <c r="B49" s="16">
        <v>14</v>
      </c>
      <c r="C49" s="243" t="s">
        <v>141</v>
      </c>
      <c r="D49" s="244"/>
      <c r="E49" s="245"/>
      <c r="F49" s="44"/>
      <c r="G49" s="44"/>
      <c r="H49" s="44"/>
      <c r="I49" s="45">
        <f t="shared" si="19"/>
      </c>
      <c r="J49" s="25">
        <f t="shared" si="20"/>
      </c>
      <c r="K49" s="25">
        <f t="shared" si="20"/>
      </c>
      <c r="L49" s="46"/>
      <c r="S49" s="205" t="str">
        <f t="shared" si="21"/>
        <v>Užsienio kalba (prancūzų)</v>
      </c>
      <c r="T49" s="134" t="b">
        <v>0</v>
      </c>
      <c r="V49" s="206">
        <f t="shared" si="22"/>
        <v>0</v>
      </c>
      <c r="W49" s="202"/>
      <c r="X49" s="202"/>
      <c r="Y49" s="202">
        <f>IF(Z49=2,"A1","")</f>
      </c>
      <c r="Z49" s="202">
        <f t="shared" si="23"/>
        <v>0</v>
      </c>
      <c r="AA49" s="202">
        <f>IF(Z49=2,2,"")</f>
      </c>
      <c r="AB49" s="202">
        <f>IF(Z49=2,2,"")</f>
      </c>
    </row>
    <row r="50" spans="2:28" ht="16.5" customHeight="1">
      <c r="B50" s="16">
        <v>15</v>
      </c>
      <c r="C50" s="243" t="s">
        <v>143</v>
      </c>
      <c r="D50" s="244"/>
      <c r="E50" s="245"/>
      <c r="F50" s="44"/>
      <c r="G50" s="44"/>
      <c r="H50" s="44"/>
      <c r="I50" s="45">
        <f t="shared" si="19"/>
      </c>
      <c r="J50" s="25">
        <f t="shared" si="20"/>
      </c>
      <c r="K50" s="25">
        <f t="shared" si="20"/>
      </c>
      <c r="L50" s="46"/>
      <c r="S50" s="205" t="str">
        <f t="shared" si="21"/>
        <v>Užsienio kalba (ispanų)</v>
      </c>
      <c r="T50" s="134" t="b">
        <v>0</v>
      </c>
      <c r="V50" s="206">
        <f t="shared" si="22"/>
        <v>0</v>
      </c>
      <c r="W50" s="202"/>
      <c r="X50" s="202"/>
      <c r="Y50" s="202">
        <f>IF(Z50=2,"A1/A2","")</f>
      </c>
      <c r="Z50" s="202">
        <f t="shared" si="23"/>
        <v>0</v>
      </c>
      <c r="AA50" s="202">
        <f>IF(Z50=2,2,"")</f>
      </c>
      <c r="AB50" s="202">
        <f>IF(Z50=2,2,"")</f>
      </c>
    </row>
    <row r="51" spans="2:28" ht="16.5" customHeight="1">
      <c r="B51" s="16">
        <v>16</v>
      </c>
      <c r="C51" s="243" t="s">
        <v>142</v>
      </c>
      <c r="D51" s="244"/>
      <c r="E51" s="245"/>
      <c r="F51" s="44"/>
      <c r="G51" s="44"/>
      <c r="H51" s="44"/>
      <c r="I51" s="45">
        <f>Y51</f>
      </c>
      <c r="J51" s="25">
        <f>AA51</f>
      </c>
      <c r="K51" s="25">
        <f>AB51</f>
      </c>
      <c r="L51" s="46"/>
      <c r="S51" s="205" t="str">
        <f t="shared" si="21"/>
        <v>Užsienio kalba (rusų)</v>
      </c>
      <c r="T51" s="134" t="b">
        <v>0</v>
      </c>
      <c r="V51" s="206">
        <f t="shared" si="22"/>
        <v>0</v>
      </c>
      <c r="W51" s="214"/>
      <c r="X51" s="214"/>
      <c r="Y51" s="214">
        <f>IF(Z51=2,"A1","")</f>
      </c>
      <c r="Z51" s="214">
        <f t="shared" si="23"/>
        <v>0</v>
      </c>
      <c r="AA51" s="214">
        <f>IF(Z51=2,2,"")</f>
      </c>
      <c r="AB51" s="214">
        <f>IF(Z51=2,2,"")</f>
      </c>
    </row>
    <row r="52" spans="2:28" ht="16.5" customHeight="1">
      <c r="B52" s="16">
        <v>17</v>
      </c>
      <c r="C52" s="243" t="s">
        <v>144</v>
      </c>
      <c r="D52" s="244"/>
      <c r="E52" s="245"/>
      <c r="F52" s="44"/>
      <c r="G52" s="44"/>
      <c r="H52" s="44"/>
      <c r="I52" s="45">
        <f t="shared" si="19"/>
      </c>
      <c r="J52" s="25">
        <f t="shared" si="20"/>
      </c>
      <c r="K52" s="25">
        <f t="shared" si="20"/>
      </c>
      <c r="L52" s="46"/>
      <c r="S52" s="205" t="str">
        <f t="shared" si="21"/>
        <v>Užsienio kalba (kinų)</v>
      </c>
      <c r="T52" s="134" t="b">
        <v>0</v>
      </c>
      <c r="V52" s="206">
        <f t="shared" si="22"/>
        <v>0</v>
      </c>
      <c r="W52" s="202"/>
      <c r="X52" s="202"/>
      <c r="Y52" s="202">
        <f>IF(Z52=2,"A1","")</f>
      </c>
      <c r="Z52" s="202">
        <f t="shared" si="23"/>
        <v>0</v>
      </c>
      <c r="AA52" s="202">
        <f>IF(Z52=2,2,"")</f>
      </c>
      <c r="AB52" s="202">
        <f>IF(Z52=2,2,"")</f>
      </c>
    </row>
    <row r="53" spans="2:19" ht="14.2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61"/>
      <c r="N53" s="145"/>
      <c r="S53" s="205"/>
    </row>
    <row r="54" spans="1:28" ht="18.75" customHeight="1">
      <c r="A54" s="32"/>
      <c r="B54" s="251" t="s">
        <v>50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143"/>
      <c r="N54" s="143"/>
      <c r="S54" s="205"/>
      <c r="V54" s="202"/>
      <c r="W54" s="202"/>
      <c r="X54" s="202"/>
      <c r="Z54" s="202"/>
      <c r="AA54" s="202"/>
      <c r="AB54" s="202"/>
    </row>
    <row r="55" spans="2:28" ht="22.5" customHeight="1">
      <c r="B55" s="264">
        <v>18</v>
      </c>
      <c r="C55" s="260" t="s">
        <v>26</v>
      </c>
      <c r="D55" s="236" t="s">
        <v>133</v>
      </c>
      <c r="E55" s="236"/>
      <c r="F55" s="24"/>
      <c r="G55" s="24"/>
      <c r="H55" s="24"/>
      <c r="I55" s="97">
        <f aca="true" t="shared" si="24" ref="I55:I65">Y55</f>
      </c>
      <c r="J55" s="70">
        <f aca="true" t="shared" si="25" ref="J55:K57">AA55</f>
      </c>
      <c r="K55" s="70">
        <f t="shared" si="25"/>
      </c>
      <c r="L55" s="125"/>
      <c r="M55" s="162"/>
      <c r="N55" s="163"/>
      <c r="O55" s="146">
        <f>IF(AND(T55,NOT(U21)),"Turite pasirinkti istorijos A kursą","")</f>
      </c>
      <c r="P55" s="146"/>
      <c r="Q55" s="146"/>
      <c r="S55" s="208" t="str">
        <f aca="true" t="shared" si="26" ref="S55:S62">D55</f>
        <v>Darbas su istoriniais šaltiniais ir žemėlapiais</v>
      </c>
      <c r="T55" s="134" t="b">
        <v>0</v>
      </c>
      <c r="V55" s="202">
        <f>IF(AND(T55,X55=1),1,0)</f>
        <v>0</v>
      </c>
      <c r="X55" s="206">
        <f>IF(U21,1,0)</f>
        <v>0</v>
      </c>
      <c r="Y55" s="206">
        <f aca="true" t="shared" si="27" ref="Y55:Y65">IF(Z55=2,"M","")</f>
      </c>
      <c r="Z55" s="202">
        <f>IF(AND(V55+X55=2),2,0)</f>
        <v>0</v>
      </c>
      <c r="AA55" s="202">
        <f aca="true" t="shared" si="28" ref="AA55:AA60">IF(Z55=2,1,"")</f>
      </c>
      <c r="AB55" s="202">
        <f aca="true" t="shared" si="29" ref="AB55:AB62">IF(Z55=2,1,"")</f>
      </c>
    </row>
    <row r="56" spans="2:28" ht="22.5" customHeight="1">
      <c r="B56" s="265"/>
      <c r="C56" s="261"/>
      <c r="D56" s="262" t="s">
        <v>134</v>
      </c>
      <c r="E56" s="263"/>
      <c r="F56" s="24"/>
      <c r="G56" s="24"/>
      <c r="H56" s="24"/>
      <c r="I56" s="97">
        <f t="shared" si="24"/>
      </c>
      <c r="J56" s="70">
        <f t="shared" si="25"/>
      </c>
      <c r="K56" s="70">
        <f t="shared" si="25"/>
      </c>
      <c r="L56" s="125"/>
      <c r="M56" s="162"/>
      <c r="N56" s="163"/>
      <c r="O56" s="229">
        <f>IF(AND(T56,NOT(U21)),"Turite pasirinkti istorijos A kursą","")</f>
      </c>
      <c r="P56" s="217"/>
      <c r="Q56" s="217"/>
      <c r="S56" s="208" t="str">
        <f t="shared" si="26"/>
        <v>Senosios civilizacijos, pakeitusios žmonių gyvenimus</v>
      </c>
      <c r="T56" s="134" t="b">
        <v>0</v>
      </c>
      <c r="V56" s="218">
        <f>IF(AND(T56,X56=1),1,0)</f>
        <v>0</v>
      </c>
      <c r="X56" s="206">
        <f>IF(U21,1,0)</f>
        <v>0</v>
      </c>
      <c r="Y56" s="206">
        <f t="shared" si="27"/>
      </c>
      <c r="Z56" s="218">
        <f>IF(AND(V56+X56=2),2,0)</f>
        <v>0</v>
      </c>
      <c r="AA56" s="218">
        <f t="shared" si="28"/>
      </c>
      <c r="AB56" s="218">
        <f t="shared" si="29"/>
      </c>
    </row>
    <row r="57" spans="2:28" ht="22.5" customHeight="1">
      <c r="B57" s="120">
        <v>19</v>
      </c>
      <c r="C57" s="104" t="s">
        <v>28</v>
      </c>
      <c r="D57" s="258" t="s">
        <v>135</v>
      </c>
      <c r="E57" s="259"/>
      <c r="F57" s="24"/>
      <c r="G57" s="24"/>
      <c r="H57" s="24"/>
      <c r="I57" s="97">
        <f t="shared" si="24"/>
      </c>
      <c r="J57" s="70">
        <f t="shared" si="25"/>
      </c>
      <c r="K57" s="70">
        <f t="shared" si="25"/>
      </c>
      <c r="L57" s="46"/>
      <c r="M57" s="162"/>
      <c r="N57" s="163"/>
      <c r="O57" s="231">
        <f>IF(AND(V57=1,NOT(U23)),"Turite pasirinkti MATEMATIKOS A kursą","")</f>
      </c>
      <c r="P57" s="231"/>
      <c r="Q57" s="231"/>
      <c r="S57" s="208" t="str">
        <f t="shared" si="26"/>
        <v>Olimpiadinių uždavinių sprendimas</v>
      </c>
      <c r="T57" s="134" t="b">
        <v>0</v>
      </c>
      <c r="V57" s="202">
        <f>IF(T57,1,0)</f>
        <v>0</v>
      </c>
      <c r="X57" s="206">
        <f>IF(U23,V57,0)</f>
        <v>0</v>
      </c>
      <c r="Y57" s="206">
        <f t="shared" si="27"/>
      </c>
      <c r="Z57" s="202">
        <f>IF(V57+X57=2,2,0)</f>
        <v>0</v>
      </c>
      <c r="AA57" s="202">
        <f t="shared" si="28"/>
      </c>
      <c r="AB57" s="202">
        <f>IF(Z57=2,1,"")</f>
      </c>
    </row>
    <row r="58" spans="2:28" ht="25.5" customHeight="1">
      <c r="B58" s="264">
        <v>20</v>
      </c>
      <c r="C58" s="297" t="s">
        <v>30</v>
      </c>
      <c r="D58" s="236" t="s">
        <v>97</v>
      </c>
      <c r="E58" s="236"/>
      <c r="F58" s="24"/>
      <c r="G58" s="24"/>
      <c r="H58" s="24"/>
      <c r="I58" s="48">
        <f t="shared" si="24"/>
      </c>
      <c r="J58" s="25">
        <f aca="true" t="shared" si="30" ref="J58:K61">AA58</f>
      </c>
      <c r="K58" s="25">
        <f t="shared" si="30"/>
      </c>
      <c r="L58" s="46"/>
      <c r="M58" s="162"/>
      <c r="N58" s="163"/>
      <c r="O58" s="231">
        <f>IF(AND(T58,NOT(U24)),"Turite pasirinkti BIOLOGIJOS A kursą","")</f>
      </c>
      <c r="P58" s="231"/>
      <c r="Q58" s="231"/>
      <c r="S58" s="208" t="str">
        <f t="shared" si="26"/>
        <v>Eksperimentas biologijoje. Struktūrinių užduočių atlikimo metodika.</v>
      </c>
      <c r="T58" s="134" t="b">
        <v>0</v>
      </c>
      <c r="V58" s="202">
        <f>IF(AND(T58,X58=1),1,0)</f>
        <v>0</v>
      </c>
      <c r="X58" s="206">
        <f>IF(U24,1,0)</f>
        <v>0</v>
      </c>
      <c r="Y58" s="206">
        <f t="shared" si="27"/>
      </c>
      <c r="Z58" s="202">
        <f>IF(AND(V58+X58=2),2,0)</f>
        <v>0</v>
      </c>
      <c r="AA58" s="202">
        <f t="shared" si="28"/>
      </c>
      <c r="AB58" s="202">
        <f>IF(Z58=2,1,"")</f>
      </c>
    </row>
    <row r="59" spans="2:28" ht="25.5" customHeight="1">
      <c r="B59" s="265"/>
      <c r="C59" s="298"/>
      <c r="D59" s="262" t="s">
        <v>136</v>
      </c>
      <c r="E59" s="263"/>
      <c r="F59" s="24"/>
      <c r="G59" s="24"/>
      <c r="H59" s="24"/>
      <c r="I59" s="48">
        <f>Y59</f>
      </c>
      <c r="J59" s="25">
        <f>AA59</f>
      </c>
      <c r="K59" s="25">
        <f>AB59</f>
      </c>
      <c r="L59" s="46"/>
      <c r="M59" s="162"/>
      <c r="N59" s="163"/>
      <c r="O59" s="231">
        <f>IF(AND(T59,NOT(U25)),"Turite pasirinkti BIOLOGIJOS A kursą","")</f>
      </c>
      <c r="P59" s="231"/>
      <c r="Q59" s="231"/>
      <c r="S59" s="224" t="s">
        <v>136</v>
      </c>
      <c r="T59" s="134" t="b">
        <v>0</v>
      </c>
      <c r="V59" s="218">
        <f>IF(AND(T59,X59=1),1,0)</f>
        <v>0</v>
      </c>
      <c r="X59" s="206">
        <f>IF(U24,1,0)</f>
        <v>0</v>
      </c>
      <c r="Y59" s="206">
        <f t="shared" si="27"/>
      </c>
      <c r="Z59" s="218">
        <f>IF(AND(V59+X59=2),2,0)</f>
        <v>0</v>
      </c>
      <c r="AA59" s="218">
        <f t="shared" si="28"/>
      </c>
      <c r="AB59" s="218">
        <f>IF(Z59=2,1,"")</f>
      </c>
    </row>
    <row r="60" spans="1:64" s="32" customFormat="1" ht="22.5" customHeight="1">
      <c r="A60" s="2"/>
      <c r="B60" s="16">
        <v>21</v>
      </c>
      <c r="C60" s="49" t="s">
        <v>32</v>
      </c>
      <c r="D60" s="272" t="s">
        <v>126</v>
      </c>
      <c r="E60" s="272"/>
      <c r="F60" s="24"/>
      <c r="G60" s="24"/>
      <c r="H60" s="24"/>
      <c r="I60" s="48">
        <f t="shared" si="24"/>
      </c>
      <c r="J60" s="25">
        <f t="shared" si="30"/>
      </c>
      <c r="K60" s="25">
        <f t="shared" si="30"/>
      </c>
      <c r="L60" s="46"/>
      <c r="M60" s="57"/>
      <c r="N60" s="194"/>
      <c r="O60" s="234">
        <f>IF(AND(T60,NOT(U25)),"Turite pasirinkti CHEMIJOS A kursą","")</f>
      </c>
      <c r="P60" s="234"/>
      <c r="Q60" s="234"/>
      <c r="R60" s="6"/>
      <c r="S60" s="208" t="str">
        <f t="shared" si="26"/>
        <v>Chemijos uždavinių praktikumas</v>
      </c>
      <c r="T60" s="134" t="b">
        <v>0</v>
      </c>
      <c r="U60" s="134"/>
      <c r="V60" s="202">
        <f>IF(AND(T60,X60=1),1,0)</f>
        <v>0</v>
      </c>
      <c r="W60" s="134"/>
      <c r="X60" s="206">
        <f>IF(U25,1,0)</f>
        <v>0</v>
      </c>
      <c r="Y60" s="206">
        <f t="shared" si="27"/>
      </c>
      <c r="Z60" s="202">
        <f>IF(AND(V60+X60=2),2,0)</f>
        <v>0</v>
      </c>
      <c r="AA60" s="202">
        <f t="shared" si="28"/>
      </c>
      <c r="AB60" s="202">
        <f>IF(Z60=2,1,"")</f>
      </c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</row>
    <row r="61" spans="2:28" ht="22.5" customHeight="1">
      <c r="B61" s="120">
        <v>22</v>
      </c>
      <c r="C61" s="73" t="s">
        <v>31</v>
      </c>
      <c r="D61" s="232" t="s">
        <v>98</v>
      </c>
      <c r="E61" s="233"/>
      <c r="F61" s="17"/>
      <c r="G61" s="17"/>
      <c r="H61" s="17"/>
      <c r="I61" s="47">
        <f t="shared" si="24"/>
      </c>
      <c r="J61" s="18">
        <f t="shared" si="30"/>
      </c>
      <c r="K61" s="18">
        <f t="shared" si="30"/>
      </c>
      <c r="L61" s="115"/>
      <c r="M61" s="162"/>
      <c r="N61" s="163"/>
      <c r="O61" s="231">
        <f>IF(AND(V61=1,NOT(U26)),"Turite pasirinkti fizikos A kursą","")</f>
      </c>
      <c r="P61" s="231"/>
      <c r="Q61" s="231"/>
      <c r="S61" s="208" t="str">
        <f t="shared" si="26"/>
        <v>Fizikos kokybinių, kiekybinių ir eksperimentinių uždavinių sprendimas </v>
      </c>
      <c r="T61" s="134" t="b">
        <v>0</v>
      </c>
      <c r="V61" s="202">
        <f>IF(T61,1,0)</f>
        <v>0</v>
      </c>
      <c r="X61" s="206">
        <f>IF(U26,1,0)</f>
        <v>0</v>
      </c>
      <c r="Y61" s="206">
        <f t="shared" si="27"/>
      </c>
      <c r="Z61" s="202">
        <f>IF(AND(V61+X61=2),2,0)</f>
        <v>0</v>
      </c>
      <c r="AA61" s="202">
        <f>IF(Z61=2,0,"")</f>
      </c>
      <c r="AB61" s="202">
        <f t="shared" si="29"/>
      </c>
    </row>
    <row r="62" spans="2:28" ht="27.75" customHeight="1">
      <c r="B62" s="16">
        <v>23</v>
      </c>
      <c r="C62" s="49" t="s">
        <v>40</v>
      </c>
      <c r="D62" s="235" t="s">
        <v>99</v>
      </c>
      <c r="E62" s="235"/>
      <c r="F62" s="24"/>
      <c r="G62" s="24"/>
      <c r="H62" s="24"/>
      <c r="I62" s="48">
        <f t="shared" si="24"/>
      </c>
      <c r="J62" s="25">
        <f aca="true" t="shared" si="31" ref="J62:K65">AA62</f>
      </c>
      <c r="K62" s="25">
        <f t="shared" si="31"/>
      </c>
      <c r="L62" s="46"/>
      <c r="M62" s="162"/>
      <c r="N62" s="163"/>
      <c r="O62" s="231">
        <f>IF(AND(V62=1,NOT(U42)),"Turite pasirinkti IT (programavimas) A kursą","")</f>
      </c>
      <c r="P62" s="231"/>
      <c r="Q62" s="231"/>
      <c r="S62" s="208" t="str">
        <f t="shared" si="26"/>
        <v>Pogramavimo praktikumas</v>
      </c>
      <c r="T62" s="134" t="b">
        <v>0</v>
      </c>
      <c r="V62" s="202">
        <f>IF(T62,1,0)</f>
        <v>0</v>
      </c>
      <c r="X62" s="206">
        <f>V42+V62</f>
        <v>0</v>
      </c>
      <c r="Y62" s="206">
        <f t="shared" si="27"/>
      </c>
      <c r="Z62" s="202">
        <f>IF(AND(V62+X62=3),2,0)</f>
        <v>0</v>
      </c>
      <c r="AA62" s="202">
        <f>IF(Z62=2,1,"")</f>
      </c>
      <c r="AB62" s="202">
        <f t="shared" si="29"/>
      </c>
    </row>
    <row r="63" spans="2:28" ht="27.75" customHeight="1">
      <c r="B63" s="121">
        <v>24</v>
      </c>
      <c r="C63" s="303" t="s">
        <v>116</v>
      </c>
      <c r="D63" s="304"/>
      <c r="E63" s="305"/>
      <c r="F63" s="20"/>
      <c r="G63" s="20"/>
      <c r="H63" s="20"/>
      <c r="I63" s="113"/>
      <c r="J63" s="21">
        <f t="shared" si="31"/>
      </c>
      <c r="K63" s="21">
        <f t="shared" si="31"/>
      </c>
      <c r="L63" s="46"/>
      <c r="M63" s="162"/>
      <c r="N63" s="163"/>
      <c r="O63" s="200"/>
      <c r="P63" s="200"/>
      <c r="Q63" s="200"/>
      <c r="S63" s="208" t="s">
        <v>116</v>
      </c>
      <c r="T63" s="134" t="b">
        <v>0</v>
      </c>
      <c r="V63" s="202">
        <f>IF(T63,1,0)</f>
        <v>0</v>
      </c>
      <c r="X63" s="206"/>
      <c r="Y63" s="206"/>
      <c r="Z63" s="202">
        <f>IF(AND(V63+X63=1),1,0)</f>
        <v>0</v>
      </c>
      <c r="AA63" s="202">
        <f>IF(Z63=1,1,"")</f>
      </c>
      <c r="AB63" s="202">
        <f>IF(Z63=1,1,"")</f>
      </c>
    </row>
    <row r="64" spans="2:28" ht="27.75" customHeight="1">
      <c r="B64" s="121">
        <v>25</v>
      </c>
      <c r="C64" s="299" t="s">
        <v>127</v>
      </c>
      <c r="D64" s="235" t="s">
        <v>128</v>
      </c>
      <c r="E64" s="235"/>
      <c r="F64" s="20"/>
      <c r="G64" s="20"/>
      <c r="H64" s="20"/>
      <c r="I64" s="113">
        <f>Y64</f>
      </c>
      <c r="J64" s="21">
        <f t="shared" si="31"/>
      </c>
      <c r="K64" s="21">
        <f t="shared" si="31"/>
      </c>
      <c r="L64" s="114"/>
      <c r="M64" s="162"/>
      <c r="N64" s="163"/>
      <c r="O64" s="200">
        <f>IF(AND(T64,NOT(U17)),"Turite pasirinkti lietuvių A kursą","")</f>
      </c>
      <c r="P64" s="200"/>
      <c r="Q64" s="200"/>
      <c r="S64" s="208" t="str">
        <f>C64</f>
        <v>Lietuvių k.</v>
      </c>
      <c r="T64" s="134" t="b">
        <v>0</v>
      </c>
      <c r="V64" s="202">
        <f>IF(T64,1,0)</f>
        <v>0</v>
      </c>
      <c r="X64" s="206"/>
      <c r="Y64" s="206">
        <f>IF(Z64=2,"M","")</f>
      </c>
      <c r="Z64" s="202">
        <f>IF(V64=1,2,0)</f>
        <v>0</v>
      </c>
      <c r="AA64" s="202">
        <f>IF(Z64=2,1,"")</f>
      </c>
      <c r="AB64" s="202">
        <f>IF(Z64=2,1,"")</f>
      </c>
    </row>
    <row r="65" spans="2:28" ht="22.5" customHeight="1">
      <c r="B65" s="121">
        <v>26</v>
      </c>
      <c r="C65" s="299"/>
      <c r="D65" s="235" t="s">
        <v>137</v>
      </c>
      <c r="E65" s="235"/>
      <c r="F65" s="20"/>
      <c r="G65" s="20"/>
      <c r="H65" s="20"/>
      <c r="I65" s="113">
        <f t="shared" si="24"/>
      </c>
      <c r="J65" s="21">
        <f t="shared" si="31"/>
      </c>
      <c r="K65" s="21">
        <f t="shared" si="31"/>
      </c>
      <c r="L65" s="114"/>
      <c r="M65" s="162"/>
      <c r="N65" s="163"/>
      <c r="O65" s="231">
        <f>IF(AND(T65,NOT(U17)),"Turite pasirinkti lietuvių A kursą","")</f>
      </c>
      <c r="P65" s="231"/>
      <c r="Q65" s="231"/>
      <c r="S65" s="208">
        <f>C65</f>
        <v>0</v>
      </c>
      <c r="T65" s="134" t="b">
        <v>0</v>
      </c>
      <c r="V65" s="202">
        <f>IF(T65,1,0)</f>
        <v>0</v>
      </c>
      <c r="X65" s="206"/>
      <c r="Y65" s="206">
        <f t="shared" si="27"/>
      </c>
      <c r="Z65" s="202">
        <f>IF(V65=1,2,0)</f>
        <v>0</v>
      </c>
      <c r="AA65" s="202">
        <f>IF(Z65=2,1,"")</f>
      </c>
      <c r="AB65" s="202">
        <f>IF(Z65=2,1,"")</f>
      </c>
    </row>
    <row r="66" spans="2:28" ht="22.5" customHeight="1">
      <c r="B66" s="226"/>
      <c r="C66" s="41"/>
      <c r="D66" s="196"/>
      <c r="E66" s="196"/>
      <c r="F66" s="81"/>
      <c r="G66" s="81"/>
      <c r="H66" s="81"/>
      <c r="I66" s="82"/>
      <c r="J66" s="83"/>
      <c r="K66" s="83"/>
      <c r="L66" s="84"/>
      <c r="M66" s="162"/>
      <c r="N66" s="163"/>
      <c r="O66" s="217"/>
      <c r="P66" s="217"/>
      <c r="Q66" s="217"/>
      <c r="S66" s="208"/>
      <c r="V66" s="218"/>
      <c r="X66" s="206"/>
      <c r="Y66" s="206"/>
      <c r="Z66" s="218"/>
      <c r="AA66" s="218"/>
      <c r="AB66" s="218"/>
    </row>
    <row r="67" spans="2:28" ht="28.5" customHeight="1">
      <c r="B67" s="226">
        <v>27</v>
      </c>
      <c r="C67" s="300" t="s">
        <v>138</v>
      </c>
      <c r="D67" s="301"/>
      <c r="E67" s="302"/>
      <c r="F67" s="24"/>
      <c r="G67" s="24"/>
      <c r="H67" s="24"/>
      <c r="I67" s="48"/>
      <c r="J67" s="25">
        <f>AA67</f>
      </c>
      <c r="K67" s="25">
        <f>AB67</f>
      </c>
      <c r="L67" s="46"/>
      <c r="M67" s="162"/>
      <c r="N67" s="163"/>
      <c r="O67" s="217"/>
      <c r="P67" s="217"/>
      <c r="Q67" s="217"/>
      <c r="S67" s="208" t="s">
        <v>139</v>
      </c>
      <c r="T67" s="134" t="b">
        <v>0</v>
      </c>
      <c r="V67" s="218">
        <f>IF(T67,1,0)</f>
        <v>0</v>
      </c>
      <c r="X67" s="206"/>
      <c r="Y67" s="206"/>
      <c r="Z67" s="218">
        <f>IF(AND(V67+X67=1),0.5,0)</f>
        <v>0</v>
      </c>
      <c r="AA67" s="218">
        <f>IF(Z67=0.5,0.5,"")</f>
      </c>
      <c r="AB67" s="218">
        <f>IF(Z67=0.5,0,"")</f>
      </c>
    </row>
    <row r="68" spans="2:28" ht="22.5" customHeight="1">
      <c r="B68" s="121">
        <v>28</v>
      </c>
      <c r="C68" s="294" t="s">
        <v>125</v>
      </c>
      <c r="D68" s="295"/>
      <c r="E68" s="296"/>
      <c r="F68" s="24"/>
      <c r="G68" s="24"/>
      <c r="H68" s="24"/>
      <c r="I68" s="48"/>
      <c r="J68" s="21">
        <f>AA68</f>
      </c>
      <c r="K68" s="21">
        <f>AB68</f>
      </c>
      <c r="L68" s="46"/>
      <c r="M68" s="162"/>
      <c r="N68" s="163"/>
      <c r="O68" s="193"/>
      <c r="P68" s="193"/>
      <c r="Q68" s="193"/>
      <c r="S68" s="208" t="s">
        <v>125</v>
      </c>
      <c r="T68" s="134" t="b">
        <v>0</v>
      </c>
      <c r="V68" s="218">
        <f>IF(T68,1,0)</f>
        <v>0</v>
      </c>
      <c r="X68" s="206"/>
      <c r="Y68" s="206"/>
      <c r="Z68" s="218">
        <f>IF(AND(V68+X68=1),0.5,1)</f>
        <v>1</v>
      </c>
      <c r="AA68" s="218">
        <f>IF(Z68=0.5,0,"")</f>
      </c>
      <c r="AB68" s="218">
        <f>IF(Z68=0.5,0.5,"")</f>
      </c>
    </row>
    <row r="69" spans="2:28" ht="22.5" customHeight="1">
      <c r="B69" s="40"/>
      <c r="C69" s="230"/>
      <c r="D69" s="227"/>
      <c r="E69" s="230"/>
      <c r="F69" s="81"/>
      <c r="G69" s="81"/>
      <c r="H69" s="81"/>
      <c r="I69" s="82"/>
      <c r="J69" s="83"/>
      <c r="K69" s="83"/>
      <c r="L69" s="84"/>
      <c r="M69" s="162"/>
      <c r="N69" s="163"/>
      <c r="O69" s="222"/>
      <c r="P69" s="222"/>
      <c r="Q69" s="222"/>
      <c r="S69" s="208"/>
      <c r="V69" s="223"/>
      <c r="X69" s="206"/>
      <c r="Y69" s="206"/>
      <c r="Z69" s="223"/>
      <c r="AA69" s="223"/>
      <c r="AB69" s="223"/>
    </row>
    <row r="70" spans="3:20" ht="15.75">
      <c r="C70" s="50" t="s">
        <v>0</v>
      </c>
      <c r="D70" s="1">
        <f>T70</f>
        <v>0</v>
      </c>
      <c r="E70" s="51" t="str">
        <f>IF(D70&gt;7,"","Dalykų turi būti ne mažiau kaip 8")</f>
        <v>Dalykų turi būti ne mažiau kaip 8</v>
      </c>
      <c r="F70" s="52"/>
      <c r="G70" s="52"/>
      <c r="H70" s="52"/>
      <c r="I70" s="52"/>
      <c r="J70" s="52"/>
      <c r="K70" s="52"/>
      <c r="L70" s="52"/>
      <c r="M70" s="164"/>
      <c r="N70" s="165"/>
      <c r="O70" s="165"/>
      <c r="S70" s="209" t="s">
        <v>0</v>
      </c>
      <c r="T70" s="202">
        <f>COUNTIF(Y15:Y41,"B")+COUNTIF(Y15:Y43,"A")+COUNTIF(Y15:Y52,"B2")+COUNTIF(Y46:Y52,"P")+COUNTIF(Y46:Y52,"A1")+COUNTIF(Y38:Y52,"B1")+COUNTIF(Y38:Y52,"-")+COUNTIF(Y38:Y52,"A1/A2")</f>
        <v>0</v>
      </c>
    </row>
    <row r="71" spans="3:20" ht="9" customHeight="1">
      <c r="C71" s="53"/>
      <c r="D71" s="3"/>
      <c r="E71" s="54"/>
      <c r="F71" s="55"/>
      <c r="G71" s="55"/>
      <c r="H71" s="55"/>
      <c r="J71" s="55"/>
      <c r="K71" s="55"/>
      <c r="L71" s="55"/>
      <c r="M71" s="166"/>
      <c r="S71" s="134"/>
      <c r="T71" s="202"/>
    </row>
    <row r="72" spans="1:20" ht="27" customHeight="1">
      <c r="A72" s="239" t="s">
        <v>86</v>
      </c>
      <c r="B72" s="239"/>
      <c r="C72" s="240"/>
      <c r="D72" s="1">
        <f>T72</f>
        <v>0</v>
      </c>
      <c r="E72" s="52" t="str">
        <f>IF((D72&lt;=35)*(D72&gt;=28),"","Pamokų turi būti ne mažiau kaip 28 ir ne daugiau kaip 35")</f>
        <v>Pamokų turi būti ne mažiau kaip 28 ir ne daugiau kaip 35</v>
      </c>
      <c r="F72" s="56"/>
      <c r="G72" s="56"/>
      <c r="H72" s="56"/>
      <c r="J72" s="56"/>
      <c r="K72" s="56"/>
      <c r="L72" s="56"/>
      <c r="M72" s="166"/>
      <c r="S72" s="209" t="s">
        <v>1</v>
      </c>
      <c r="T72" s="202">
        <f>SUM(AA15:AA68)</f>
        <v>0</v>
      </c>
    </row>
    <row r="73" spans="3:20" ht="9" customHeight="1">
      <c r="C73" s="53"/>
      <c r="D73" s="3"/>
      <c r="E73" s="54"/>
      <c r="F73" s="55"/>
      <c r="G73" s="55"/>
      <c r="H73" s="55"/>
      <c r="J73" s="55"/>
      <c r="K73" s="55"/>
      <c r="L73" s="55"/>
      <c r="M73" s="166"/>
      <c r="S73" s="209"/>
      <c r="T73" s="202"/>
    </row>
    <row r="74" spans="1:20" ht="27" customHeight="1">
      <c r="A74" s="239" t="s">
        <v>87</v>
      </c>
      <c r="B74" s="239"/>
      <c r="C74" s="240"/>
      <c r="D74" s="1">
        <f>T74</f>
        <v>0</v>
      </c>
      <c r="E74" s="52" t="str">
        <f>IF((D74&lt;=35)*(D74&gt;=28),"","Pamokų turi būti ne mažiau kaip 28 ir ne daugiau kaip 35")</f>
        <v>Pamokų turi būti ne mažiau kaip 28 ir ne daugiau kaip 35</v>
      </c>
      <c r="F74" s="56"/>
      <c r="G74" s="56"/>
      <c r="H74" s="56"/>
      <c r="J74" s="56"/>
      <c r="K74" s="56"/>
      <c r="L74" s="56"/>
      <c r="M74" s="166"/>
      <c r="S74" s="209" t="s">
        <v>4</v>
      </c>
      <c r="T74" s="202">
        <f>SUM(AB15:AB68)</f>
        <v>0</v>
      </c>
    </row>
    <row r="75" spans="3:19" ht="9" customHeight="1">
      <c r="C75" s="53"/>
      <c r="D75" s="3"/>
      <c r="E75" s="55"/>
      <c r="F75" s="55"/>
      <c r="G75" s="55"/>
      <c r="H75" s="55"/>
      <c r="J75" s="55"/>
      <c r="K75" s="55"/>
      <c r="L75" s="55"/>
      <c r="M75" s="166"/>
      <c r="S75" s="134"/>
    </row>
    <row r="76" spans="3:19" ht="15" customHeight="1">
      <c r="C76" s="50" t="s">
        <v>44</v>
      </c>
      <c r="D76" s="1">
        <f>COUNTIF(Y15:Y47,"A")</f>
        <v>0</v>
      </c>
      <c r="E76" s="55"/>
      <c r="F76" s="55"/>
      <c r="G76" s="55"/>
      <c r="H76" s="55"/>
      <c r="J76" s="55"/>
      <c r="K76" s="57"/>
      <c r="L76" s="55"/>
      <c r="M76" s="167"/>
      <c r="N76" s="168"/>
      <c r="S76" s="134"/>
    </row>
    <row r="77" spans="3:19" ht="9" customHeight="1">
      <c r="C77" s="53"/>
      <c r="D77" s="3"/>
      <c r="E77" s="55"/>
      <c r="F77" s="55"/>
      <c r="G77" s="55"/>
      <c r="H77" s="55"/>
      <c r="J77" s="55"/>
      <c r="K77" s="55"/>
      <c r="L77" s="55"/>
      <c r="M77" s="166"/>
      <c r="S77" s="134"/>
    </row>
    <row r="78" spans="3:19" ht="15" customHeight="1">
      <c r="C78" s="50" t="s">
        <v>45</v>
      </c>
      <c r="D78" s="1">
        <f>COUNTIF(Y15:Y47,"B")</f>
        <v>0</v>
      </c>
      <c r="E78" s="55"/>
      <c r="F78" s="55"/>
      <c r="G78" s="55"/>
      <c r="H78" s="55"/>
      <c r="J78" s="55"/>
      <c r="K78" s="57"/>
      <c r="L78" s="55"/>
      <c r="M78" s="167"/>
      <c r="N78" s="168"/>
      <c r="S78" s="134"/>
    </row>
    <row r="79" spans="3:19" ht="15" customHeight="1">
      <c r="C79" s="50"/>
      <c r="D79" s="58"/>
      <c r="E79" s="55"/>
      <c r="F79" s="55"/>
      <c r="G79" s="55"/>
      <c r="H79" s="55"/>
      <c r="J79" s="55"/>
      <c r="K79" s="57"/>
      <c r="L79" s="55"/>
      <c r="M79" s="167"/>
      <c r="N79" s="168"/>
      <c r="S79" s="134"/>
    </row>
    <row r="80" spans="3:19" ht="15.75">
      <c r="C80" s="59">
        <f ca="1">TODAY()</f>
        <v>43558</v>
      </c>
      <c r="E80" s="60"/>
      <c r="H80" s="242"/>
      <c r="I80" s="242"/>
      <c r="J80" s="242"/>
      <c r="K80" s="242"/>
      <c r="L80" s="242"/>
      <c r="M80" s="242"/>
      <c r="S80" s="205"/>
    </row>
    <row r="81" spans="3:19" ht="15.75">
      <c r="C81" s="39" t="s">
        <v>46</v>
      </c>
      <c r="E81" s="39" t="s">
        <v>89</v>
      </c>
      <c r="H81" s="241" t="s">
        <v>102</v>
      </c>
      <c r="I81" s="241"/>
      <c r="J81" s="241"/>
      <c r="K81" s="241"/>
      <c r="L81" s="241"/>
      <c r="M81" s="241"/>
      <c r="S81" s="205"/>
    </row>
    <row r="82" spans="1:19" ht="15.75">
      <c r="A82" s="37"/>
      <c r="B82" s="60"/>
      <c r="C82" s="61"/>
      <c r="D82" s="60"/>
      <c r="E82" s="37"/>
      <c r="F82" s="37"/>
      <c r="G82" s="37"/>
      <c r="H82" s="37"/>
      <c r="I82" s="37"/>
      <c r="J82" s="37"/>
      <c r="K82" s="37"/>
      <c r="L82" s="37"/>
      <c r="M82" s="166"/>
      <c r="S82" s="205"/>
    </row>
    <row r="83" spans="1:64" s="184" customFormat="1" ht="10.5">
      <c r="A83" s="93"/>
      <c r="B83" s="93" t="s">
        <v>88</v>
      </c>
      <c r="C83" s="94"/>
      <c r="D83" s="93"/>
      <c r="E83" s="93"/>
      <c r="F83" s="93"/>
      <c r="G83" s="93"/>
      <c r="H83" s="93"/>
      <c r="I83" s="93"/>
      <c r="J83" s="93"/>
      <c r="K83" s="93"/>
      <c r="L83" s="93"/>
      <c r="M83" s="169"/>
      <c r="N83" s="170"/>
      <c r="O83" s="171"/>
      <c r="P83" s="171"/>
      <c r="Q83" s="171"/>
      <c r="R83" s="183"/>
      <c r="S83" s="210"/>
      <c r="T83" s="170"/>
      <c r="U83" s="170"/>
      <c r="V83" s="170"/>
      <c r="W83" s="170"/>
      <c r="X83" s="170"/>
      <c r="Y83" s="211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</row>
    <row r="84" spans="2:19" ht="6" customHeight="1" thickBot="1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172"/>
      <c r="N84" s="173"/>
      <c r="O84" s="168"/>
      <c r="P84" s="168"/>
      <c r="Q84" s="168"/>
      <c r="R84" s="185"/>
      <c r="S84" s="205"/>
    </row>
    <row r="85" spans="1:64" s="187" customFormat="1" ht="12.75" thickTop="1">
      <c r="A85" s="271" t="s">
        <v>91</v>
      </c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174"/>
      <c r="O85" s="175"/>
      <c r="P85" s="175"/>
      <c r="Q85" s="175"/>
      <c r="R85" s="186"/>
      <c r="S85" s="208"/>
      <c r="T85" s="212"/>
      <c r="U85" s="212"/>
      <c r="V85" s="212"/>
      <c r="W85" s="212"/>
      <c r="X85" s="212"/>
      <c r="Y85" s="213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</row>
    <row r="86" ht="15.75" hidden="1">
      <c r="S86" s="205"/>
    </row>
    <row r="87" ht="15.75" hidden="1">
      <c r="S87" s="205"/>
    </row>
    <row r="88" ht="15.75" hidden="1">
      <c r="S88" s="205"/>
    </row>
    <row r="89" ht="15.75" hidden="1">
      <c r="S89" s="205"/>
    </row>
    <row r="90" ht="15.75" hidden="1">
      <c r="S90" s="205"/>
    </row>
    <row r="91" ht="15.75" hidden="1">
      <c r="S91" s="205"/>
    </row>
    <row r="92" ht="15.75" hidden="1">
      <c r="S92" s="205"/>
    </row>
    <row r="93" ht="15.75" hidden="1">
      <c r="S93" s="205"/>
    </row>
    <row r="94" ht="15.75" hidden="1">
      <c r="S94" s="205"/>
    </row>
    <row r="95" ht="15.75" hidden="1">
      <c r="S95" s="205"/>
    </row>
    <row r="96" ht="15.75" hidden="1">
      <c r="S96" s="205"/>
    </row>
    <row r="97" ht="15.75" hidden="1">
      <c r="S97" s="205"/>
    </row>
    <row r="98" ht="15.75" hidden="1">
      <c r="S98" s="205"/>
    </row>
    <row r="99" ht="15.75" hidden="1">
      <c r="S99" s="205"/>
    </row>
    <row r="100" ht="15.75" hidden="1">
      <c r="S100" s="205"/>
    </row>
    <row r="101" ht="15.75" hidden="1">
      <c r="S101" s="205"/>
    </row>
    <row r="102" ht="15.75" hidden="1">
      <c r="S102" s="205"/>
    </row>
    <row r="103" ht="15.75" hidden="1">
      <c r="S103" s="205"/>
    </row>
    <row r="104" ht="15.75" hidden="1">
      <c r="S104" s="205"/>
    </row>
    <row r="105" ht="15.75" hidden="1">
      <c r="S105" s="205"/>
    </row>
    <row r="106" ht="15.75" hidden="1">
      <c r="S106" s="205"/>
    </row>
    <row r="107" ht="15.75" hidden="1">
      <c r="S107" s="205"/>
    </row>
    <row r="108" ht="15.75" hidden="1">
      <c r="S108" s="205"/>
    </row>
    <row r="109" ht="15.75" hidden="1">
      <c r="S109" s="205"/>
    </row>
    <row r="110" ht="15.75" hidden="1">
      <c r="S110" s="205"/>
    </row>
    <row r="111" ht="15.75" hidden="1">
      <c r="S111" s="205"/>
    </row>
    <row r="112" ht="15.75" hidden="1">
      <c r="S112" s="205"/>
    </row>
    <row r="113" ht="15.75" hidden="1">
      <c r="S113" s="205"/>
    </row>
    <row r="114" ht="15.75" hidden="1">
      <c r="S114" s="205"/>
    </row>
    <row r="115" ht="15.75" hidden="1">
      <c r="S115" s="205"/>
    </row>
    <row r="116" ht="15.75" hidden="1">
      <c r="S116" s="205"/>
    </row>
    <row r="117" ht="15.75" hidden="1">
      <c r="S117" s="205"/>
    </row>
    <row r="118" ht="15.75" hidden="1">
      <c r="S118" s="205"/>
    </row>
    <row r="119" ht="15.75" hidden="1">
      <c r="S119" s="205"/>
    </row>
    <row r="120" ht="15.75" hidden="1">
      <c r="S120" s="205"/>
    </row>
    <row r="121" ht="15.75" hidden="1">
      <c r="S121" s="205"/>
    </row>
    <row r="122" ht="15.75" hidden="1">
      <c r="S122" s="205"/>
    </row>
    <row r="123" ht="15.75" hidden="1">
      <c r="S123" s="205"/>
    </row>
    <row r="124" ht="15.75" hidden="1">
      <c r="S124" s="205"/>
    </row>
    <row r="125" ht="15.75" hidden="1">
      <c r="S125" s="205"/>
    </row>
    <row r="126" ht="15.75" hidden="1">
      <c r="S126" s="205"/>
    </row>
    <row r="127" ht="15.75" hidden="1">
      <c r="S127" s="205"/>
    </row>
    <row r="128" ht="15.75" hidden="1">
      <c r="S128" s="205"/>
    </row>
    <row r="129" ht="15.75" hidden="1">
      <c r="S129" s="205"/>
    </row>
    <row r="130" ht="15.75" hidden="1">
      <c r="S130" s="205"/>
    </row>
    <row r="131" ht="15.75" hidden="1">
      <c r="S131" s="205"/>
    </row>
    <row r="132" ht="15.75" hidden="1">
      <c r="S132" s="205"/>
    </row>
    <row r="133" ht="15.75" hidden="1">
      <c r="S133" s="205"/>
    </row>
    <row r="134" ht="15.75" hidden="1">
      <c r="S134" s="205"/>
    </row>
    <row r="135" ht="15.75" hidden="1">
      <c r="S135" s="205"/>
    </row>
    <row r="136" ht="15.75" hidden="1">
      <c r="S136" s="205"/>
    </row>
    <row r="137" ht="15.75" hidden="1">
      <c r="S137" s="205"/>
    </row>
    <row r="138" ht="15.75" hidden="1">
      <c r="S138" s="205"/>
    </row>
    <row r="139" ht="15.75" hidden="1">
      <c r="S139" s="205"/>
    </row>
    <row r="140" ht="15.75" hidden="1">
      <c r="S140" s="205"/>
    </row>
    <row r="141" ht="15.75" hidden="1">
      <c r="S141" s="205"/>
    </row>
    <row r="142" ht="15.75" hidden="1">
      <c r="S142" s="205"/>
    </row>
    <row r="143" ht="15.75" hidden="1">
      <c r="S143" s="205"/>
    </row>
    <row r="144" ht="15.75" hidden="1">
      <c r="S144" s="205"/>
    </row>
    <row r="145" ht="15.75" hidden="1">
      <c r="S145" s="205"/>
    </row>
    <row r="146" ht="15.75" hidden="1">
      <c r="S146" s="205"/>
    </row>
    <row r="147" ht="15.75" hidden="1">
      <c r="S147" s="205"/>
    </row>
    <row r="148" ht="15.75" hidden="1">
      <c r="S148" s="205"/>
    </row>
    <row r="149" ht="15.75" hidden="1">
      <c r="S149" s="205"/>
    </row>
    <row r="150" ht="15.75" hidden="1">
      <c r="S150" s="205"/>
    </row>
    <row r="151" ht="15.75" hidden="1">
      <c r="S151" s="205"/>
    </row>
    <row r="152" ht="15.75" hidden="1">
      <c r="S152" s="205"/>
    </row>
    <row r="153" ht="15.75" hidden="1">
      <c r="S153" s="205"/>
    </row>
    <row r="154" ht="15.75" hidden="1">
      <c r="S154" s="205"/>
    </row>
    <row r="155" ht="15.75" hidden="1">
      <c r="S155" s="205"/>
    </row>
    <row r="156" ht="15.75" hidden="1">
      <c r="S156" s="205"/>
    </row>
    <row r="157" ht="15.75" hidden="1">
      <c r="S157" s="205"/>
    </row>
    <row r="158" ht="15.75" hidden="1">
      <c r="S158" s="205"/>
    </row>
    <row r="159" ht="15.75" hidden="1">
      <c r="S159" s="205"/>
    </row>
    <row r="160" ht="15.75" hidden="1">
      <c r="S160" s="205"/>
    </row>
    <row r="161" ht="15.75" hidden="1">
      <c r="S161" s="205"/>
    </row>
    <row r="162" ht="15.75" hidden="1">
      <c r="S162" s="205"/>
    </row>
    <row r="163" ht="15.75" hidden="1">
      <c r="S163" s="205"/>
    </row>
    <row r="164" ht="15.75" hidden="1">
      <c r="S164" s="205"/>
    </row>
    <row r="165" ht="15.75" hidden="1">
      <c r="S165" s="205"/>
    </row>
    <row r="166" ht="15.75" hidden="1">
      <c r="S166" s="205"/>
    </row>
    <row r="167" ht="15.75" hidden="1">
      <c r="S167" s="205"/>
    </row>
    <row r="168" ht="15.75" hidden="1">
      <c r="S168" s="205"/>
    </row>
    <row r="169" ht="15.75" hidden="1">
      <c r="S169" s="205"/>
    </row>
    <row r="170" ht="15.75" hidden="1">
      <c r="S170" s="205"/>
    </row>
    <row r="171" ht="15.75" hidden="1">
      <c r="S171" s="205"/>
    </row>
    <row r="172" ht="15.75" hidden="1">
      <c r="S172" s="205"/>
    </row>
    <row r="173" ht="15.75" hidden="1">
      <c r="S173" s="205"/>
    </row>
    <row r="174" ht="15.75" hidden="1">
      <c r="S174" s="205"/>
    </row>
    <row r="175" ht="15.75" hidden="1">
      <c r="S175" s="205"/>
    </row>
    <row r="176" ht="15.75" hidden="1">
      <c r="S176" s="205"/>
    </row>
    <row r="177" ht="15.75" hidden="1">
      <c r="S177" s="205"/>
    </row>
    <row r="178" ht="15.75" hidden="1">
      <c r="S178" s="205"/>
    </row>
    <row r="179" ht="15.75" hidden="1">
      <c r="S179" s="205"/>
    </row>
    <row r="180" ht="15.75" hidden="1">
      <c r="S180" s="205"/>
    </row>
    <row r="181" ht="15.75" hidden="1">
      <c r="S181" s="205"/>
    </row>
    <row r="182" ht="15.75" hidden="1">
      <c r="S182" s="205"/>
    </row>
    <row r="183" ht="15.75" hidden="1">
      <c r="S183" s="205"/>
    </row>
    <row r="184" ht="15.75" hidden="1">
      <c r="S184" s="205"/>
    </row>
    <row r="185" ht="15.75" hidden="1">
      <c r="S185" s="205"/>
    </row>
    <row r="186" ht="15.75" hidden="1">
      <c r="S186" s="205"/>
    </row>
    <row r="187" ht="15.75" hidden="1">
      <c r="S187" s="205"/>
    </row>
    <row r="188" ht="15.75" hidden="1">
      <c r="S188" s="205"/>
    </row>
    <row r="189" ht="15.75" hidden="1">
      <c r="S189" s="205"/>
    </row>
    <row r="190" ht="15.75" hidden="1">
      <c r="S190" s="205"/>
    </row>
    <row r="191" ht="15.75" hidden="1">
      <c r="S191" s="205"/>
    </row>
    <row r="192" ht="15.75" hidden="1">
      <c r="S192" s="205"/>
    </row>
    <row r="193" ht="15.75" hidden="1">
      <c r="S193" s="205"/>
    </row>
    <row r="194" ht="15.75" hidden="1">
      <c r="S194" s="205"/>
    </row>
    <row r="195" ht="15.75" hidden="1">
      <c r="S195" s="205"/>
    </row>
    <row r="196" ht="15.75" hidden="1">
      <c r="S196" s="205"/>
    </row>
    <row r="197" ht="15.75" hidden="1">
      <c r="S197" s="205"/>
    </row>
    <row r="198" ht="15.75" hidden="1">
      <c r="S198" s="205"/>
    </row>
    <row r="199" ht="15.75" hidden="1">
      <c r="S199" s="205"/>
    </row>
    <row r="200" ht="15.75" hidden="1">
      <c r="S200" s="205"/>
    </row>
    <row r="201" ht="15.75" hidden="1">
      <c r="S201" s="205"/>
    </row>
    <row r="202" ht="15.75" hidden="1">
      <c r="S202" s="205"/>
    </row>
    <row r="203" ht="15.75" hidden="1">
      <c r="S203" s="205"/>
    </row>
    <row r="204" ht="15.75" hidden="1">
      <c r="S204" s="205"/>
    </row>
    <row r="205" ht="15.75" hidden="1">
      <c r="S205" s="205"/>
    </row>
    <row r="206" ht="15.75" hidden="1">
      <c r="S206" s="205"/>
    </row>
    <row r="207" ht="15.75" hidden="1">
      <c r="S207" s="205"/>
    </row>
    <row r="208" ht="15.75" hidden="1">
      <c r="S208" s="205"/>
    </row>
    <row r="209" ht="15.75" hidden="1">
      <c r="S209" s="205"/>
    </row>
    <row r="210" ht="15.75" hidden="1">
      <c r="S210" s="205"/>
    </row>
    <row r="211" ht="15.75" hidden="1">
      <c r="S211" s="205"/>
    </row>
    <row r="212" ht="15.75" hidden="1">
      <c r="S212" s="205"/>
    </row>
    <row r="213" ht="15.75" hidden="1">
      <c r="S213" s="205"/>
    </row>
    <row r="214" ht="15.75" hidden="1">
      <c r="S214" s="205"/>
    </row>
    <row r="215" ht="15.75" hidden="1">
      <c r="S215" s="205"/>
    </row>
    <row r="216" ht="15.75" hidden="1">
      <c r="S216" s="205"/>
    </row>
    <row r="217" ht="15.75" hidden="1">
      <c r="S217" s="205"/>
    </row>
    <row r="218" ht="15.75" hidden="1">
      <c r="S218" s="205"/>
    </row>
    <row r="219" ht="15.75" hidden="1">
      <c r="S219" s="205"/>
    </row>
    <row r="220" ht="15.75" hidden="1">
      <c r="S220" s="205"/>
    </row>
    <row r="221" ht="15.75" hidden="1">
      <c r="S221" s="205"/>
    </row>
    <row r="222" ht="15.75" hidden="1">
      <c r="S222" s="205"/>
    </row>
    <row r="223" ht="15.75" hidden="1">
      <c r="S223" s="205"/>
    </row>
    <row r="224" ht="15.75" hidden="1">
      <c r="S224" s="205"/>
    </row>
    <row r="225" ht="15.75" hidden="1">
      <c r="S225" s="205"/>
    </row>
    <row r="226" ht="15.75" hidden="1">
      <c r="S226" s="205"/>
    </row>
    <row r="227" ht="15.75" hidden="1">
      <c r="S227" s="205"/>
    </row>
    <row r="228" ht="15.75" hidden="1">
      <c r="S228" s="205"/>
    </row>
    <row r="229" ht="15.75" hidden="1">
      <c r="S229" s="205"/>
    </row>
    <row r="230" ht="15.75" hidden="1">
      <c r="S230" s="205"/>
    </row>
    <row r="231" ht="15.75" hidden="1">
      <c r="S231" s="205"/>
    </row>
    <row r="232" ht="15.75" hidden="1">
      <c r="S232" s="205"/>
    </row>
    <row r="233" ht="15.75" hidden="1">
      <c r="S233" s="205"/>
    </row>
    <row r="234" ht="15.75" hidden="1">
      <c r="S234" s="205"/>
    </row>
    <row r="235" ht="15.75" hidden="1">
      <c r="S235" s="205"/>
    </row>
    <row r="236" ht="15.75" hidden="1">
      <c r="S236" s="205"/>
    </row>
    <row r="237" ht="15.75" hidden="1">
      <c r="S237" s="205"/>
    </row>
    <row r="238" ht="15.75" hidden="1">
      <c r="S238" s="205"/>
    </row>
    <row r="239" ht="15.75" hidden="1">
      <c r="S239" s="205"/>
    </row>
    <row r="240" ht="15.75" hidden="1">
      <c r="S240" s="205"/>
    </row>
    <row r="241" ht="15.75" hidden="1">
      <c r="S241" s="205"/>
    </row>
    <row r="242" ht="15.75" hidden="1">
      <c r="S242" s="205"/>
    </row>
    <row r="243" ht="15.75" hidden="1">
      <c r="S243" s="205"/>
    </row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</sheetData>
  <sheetProtection selectLockedCells="1"/>
  <protectedRanges>
    <protectedRange sqref="I38:K43 I46:K52 I15:K35 I55:K69" name="Diapazonas3"/>
    <protectedRange sqref="D7:E7 J7:N7 J9:K9" name="Diapazonas1"/>
    <protectedRange sqref="Y41:AB43 S41:U43 S15:AB40 S44:AB58 T59:AB59 S60:AB69" name="Diapazonas4"/>
    <protectedRange sqref="V41:V43" name="Diapazonas4_1"/>
    <protectedRange sqref="W41:W43" name="Diapazonas4_2"/>
    <protectedRange sqref="X41:X43" name="Diapazonas4_3"/>
  </protectedRanges>
  <mergeCells count="123">
    <mergeCell ref="C68:E68"/>
    <mergeCell ref="C58:C59"/>
    <mergeCell ref="B58:B59"/>
    <mergeCell ref="D59:E59"/>
    <mergeCell ref="C64:C65"/>
    <mergeCell ref="C67:E67"/>
    <mergeCell ref="D65:E65"/>
    <mergeCell ref="C63:E63"/>
    <mergeCell ref="D64:E64"/>
    <mergeCell ref="J13:K13"/>
    <mergeCell ref="D30:E30"/>
    <mergeCell ref="O17:Q17"/>
    <mergeCell ref="H13:H14"/>
    <mergeCell ref="M13:M14"/>
    <mergeCell ref="L13:L14"/>
    <mergeCell ref="D19:E19"/>
    <mergeCell ref="O15:Q16"/>
    <mergeCell ref="O18:Q20"/>
    <mergeCell ref="O21:Q22"/>
    <mergeCell ref="C15:C16"/>
    <mergeCell ref="C38:C40"/>
    <mergeCell ref="D29:E29"/>
    <mergeCell ref="D26:E26"/>
    <mergeCell ref="D27:E27"/>
    <mergeCell ref="D38:E38"/>
    <mergeCell ref="D22:E22"/>
    <mergeCell ref="C27:C33"/>
    <mergeCell ref="D33:E33"/>
    <mergeCell ref="D34:E34"/>
    <mergeCell ref="V13:V14"/>
    <mergeCell ref="D24:E24"/>
    <mergeCell ref="L20:M20"/>
    <mergeCell ref="D15:E15"/>
    <mergeCell ref="D16:E16"/>
    <mergeCell ref="G13:G14"/>
    <mergeCell ref="O23:Q23"/>
    <mergeCell ref="O24:Q26"/>
    <mergeCell ref="D20:E20"/>
    <mergeCell ref="D18:E18"/>
    <mergeCell ref="AB13:AB14"/>
    <mergeCell ref="W13:W14"/>
    <mergeCell ref="X13:X14"/>
    <mergeCell ref="Y13:Y14"/>
    <mergeCell ref="AA13:AA14"/>
    <mergeCell ref="C18:C20"/>
    <mergeCell ref="S13:S14"/>
    <mergeCell ref="T13:T14"/>
    <mergeCell ref="U13:U14"/>
    <mergeCell ref="Z13:Z14"/>
    <mergeCell ref="A3:M3"/>
    <mergeCell ref="C13:C14"/>
    <mergeCell ref="F13:F14"/>
    <mergeCell ref="D7:E7"/>
    <mergeCell ref="D25:E25"/>
    <mergeCell ref="B24:B26"/>
    <mergeCell ref="I13:I14"/>
    <mergeCell ref="D13:E14"/>
    <mergeCell ref="A15:A35"/>
    <mergeCell ref="B18:B20"/>
    <mergeCell ref="A4:M5"/>
    <mergeCell ref="I7:M7"/>
    <mergeCell ref="I9:M9"/>
    <mergeCell ref="D39:E39"/>
    <mergeCell ref="C34:C35"/>
    <mergeCell ref="D17:E17"/>
    <mergeCell ref="B21:B22"/>
    <mergeCell ref="C21:C22"/>
    <mergeCell ref="B27:B33"/>
    <mergeCell ref="B15:B16"/>
    <mergeCell ref="A85:M85"/>
    <mergeCell ref="B37:M37"/>
    <mergeCell ref="D60:E60"/>
    <mergeCell ref="A72:C72"/>
    <mergeCell ref="B38:B40"/>
    <mergeCell ref="C46:E46"/>
    <mergeCell ref="D43:E43"/>
    <mergeCell ref="C52:E52"/>
    <mergeCell ref="D41:E41"/>
    <mergeCell ref="D40:E40"/>
    <mergeCell ref="X41:X43"/>
    <mergeCell ref="C24:C26"/>
    <mergeCell ref="C47:E47"/>
    <mergeCell ref="O38:Q40"/>
    <mergeCell ref="O27:Q33"/>
    <mergeCell ref="O34:Q35"/>
    <mergeCell ref="W41:W43"/>
    <mergeCell ref="O41:Q43"/>
    <mergeCell ref="D28:E28"/>
    <mergeCell ref="D31:E31"/>
    <mergeCell ref="O57:Q57"/>
    <mergeCell ref="O61:Q61"/>
    <mergeCell ref="D57:E57"/>
    <mergeCell ref="C49:E49"/>
    <mergeCell ref="C51:E51"/>
    <mergeCell ref="B54:L54"/>
    <mergeCell ref="C55:C56"/>
    <mergeCell ref="D56:E56"/>
    <mergeCell ref="B55:B56"/>
    <mergeCell ref="O59:Q59"/>
    <mergeCell ref="C41:C43"/>
    <mergeCell ref="C48:E48"/>
    <mergeCell ref="B45:L45"/>
    <mergeCell ref="B41:B43"/>
    <mergeCell ref="L38:M38"/>
    <mergeCell ref="L40:M40"/>
    <mergeCell ref="L39:M39"/>
    <mergeCell ref="D35:E35"/>
    <mergeCell ref="A13:B14"/>
    <mergeCell ref="A74:C74"/>
    <mergeCell ref="H81:M81"/>
    <mergeCell ref="H80:M80"/>
    <mergeCell ref="D55:E55"/>
    <mergeCell ref="C50:E50"/>
    <mergeCell ref="D32:E32"/>
    <mergeCell ref="B34:B35"/>
    <mergeCell ref="D42:E42"/>
    <mergeCell ref="O65:Q65"/>
    <mergeCell ref="D61:E61"/>
    <mergeCell ref="O60:Q60"/>
    <mergeCell ref="D62:E62"/>
    <mergeCell ref="D58:E58"/>
    <mergeCell ref="O58:Q58"/>
    <mergeCell ref="O62:Q62"/>
  </mergeCells>
  <conditionalFormatting sqref="D15:D17 F15:H18 J38:K43 I33 J33:K35 I27:I29 J16:K29 F20:H29 D21:D35 F31:H35 I31:K32 I46:K52 F30:K30 J55:K69">
    <cfRule type="expression" priority="36" dxfId="15" stopIfTrue="1">
      <formula>$V15=1</formula>
    </cfRule>
  </conditionalFormatting>
  <conditionalFormatting sqref="D38:E40">
    <cfRule type="expression" priority="37" dxfId="0" stopIfTrue="1">
      <formula>$V38*$W38=1</formula>
    </cfRule>
  </conditionalFormatting>
  <conditionalFormatting sqref="C46:C52">
    <cfRule type="expression" priority="38" dxfId="0" stopIfTrue="1">
      <formula>$V46=1</formula>
    </cfRule>
  </conditionalFormatting>
  <conditionalFormatting sqref="Q5">
    <cfRule type="expression" priority="39" dxfId="56" stopIfTrue="1">
      <formula>P5&lt;8</formula>
    </cfRule>
  </conditionalFormatting>
  <conditionalFormatting sqref="Q9 Q7">
    <cfRule type="expression" priority="40" dxfId="56" stopIfTrue="1">
      <formula>OR(P7&lt;28,P7&gt;34)</formula>
    </cfRule>
  </conditionalFormatting>
  <conditionalFormatting sqref="D58:E58 D57 D60:E62 D59 C68:C69">
    <cfRule type="expression" priority="42" dxfId="0" stopIfTrue="1">
      <formula>$Z57=2</formula>
    </cfRule>
  </conditionalFormatting>
  <conditionalFormatting sqref="E74 E70 E72">
    <cfRule type="expression" priority="43" dxfId="5" stopIfTrue="1">
      <formula>Anketa!#REF!=0</formula>
    </cfRule>
    <cfRule type="expression" priority="44" dxfId="19" stopIfTrue="1">
      <formula>Anketa!#REF!=1</formula>
    </cfRule>
  </conditionalFormatting>
  <conditionalFormatting sqref="D70 P5">
    <cfRule type="cellIs" priority="45" dxfId="46" operator="lessThan" stopIfTrue="1">
      <formula>8</formula>
    </cfRule>
  </conditionalFormatting>
  <conditionalFormatting sqref="D72 D74 P7 P9">
    <cfRule type="cellIs" priority="46" dxfId="46" operator="notBetween" stopIfTrue="1">
      <formula>28</formula>
      <formula>35</formula>
    </cfRule>
  </conditionalFormatting>
  <conditionalFormatting sqref="F55:H56 F58:H69">
    <cfRule type="expression" priority="47" dxfId="0" stopIfTrue="1">
      <formula>$V$38*$W$38=1</formula>
    </cfRule>
    <cfRule type="expression" priority="48" dxfId="5" stopIfTrue="1">
      <formula>$X$38=2</formula>
    </cfRule>
  </conditionalFormatting>
  <conditionalFormatting sqref="D36:H36">
    <cfRule type="expression" priority="49" dxfId="0" stopIfTrue="1">
      <formula>Anketa!#REF!*Anketa!#REF!=1</formula>
    </cfRule>
  </conditionalFormatting>
  <conditionalFormatting sqref="O34:R35">
    <cfRule type="cellIs" priority="50" dxfId="57" operator="equal" stopIfTrue="1">
      <formula>"Privaloma pasirinkti vieną kūno kultūros dalyką"</formula>
    </cfRule>
  </conditionalFormatting>
  <conditionalFormatting sqref="C34">
    <cfRule type="expression" priority="51" dxfId="5" stopIfTrue="1">
      <formula>$W$34=0</formula>
    </cfRule>
  </conditionalFormatting>
  <conditionalFormatting sqref="F38:H43">
    <cfRule type="expression" priority="52" dxfId="0" stopIfTrue="1">
      <formula>$V$38*$W$38=1</formula>
    </cfRule>
  </conditionalFormatting>
  <conditionalFormatting sqref="I20">
    <cfRule type="expression" priority="53" dxfId="0" stopIfTrue="1">
      <formula>$V$20*$W$20=1</formula>
    </cfRule>
  </conditionalFormatting>
  <conditionalFormatting sqref="I21">
    <cfRule type="expression" priority="54" dxfId="0" stopIfTrue="1">
      <formula>$V$21=1</formula>
    </cfRule>
  </conditionalFormatting>
  <conditionalFormatting sqref="I22">
    <cfRule type="expression" priority="55" dxfId="0" stopIfTrue="1">
      <formula>$V$22=1</formula>
    </cfRule>
  </conditionalFormatting>
  <conditionalFormatting sqref="O21:R22">
    <cfRule type="cellIs" priority="56" dxfId="57" operator="equal" stopIfTrue="1">
      <formula>"Privaloma pasirinkti bent vieną iš visuomenės mokslų."</formula>
    </cfRule>
  </conditionalFormatting>
  <conditionalFormatting sqref="C21">
    <cfRule type="expression" priority="57" dxfId="5" stopIfTrue="1">
      <formula>$W$21=0</formula>
    </cfRule>
  </conditionalFormatting>
  <conditionalFormatting sqref="O23 R23">
    <cfRule type="cellIs" priority="58" dxfId="57" operator="equal" stopIfTrue="1">
      <formula>"Privaloma pasirinkti matematikos A arba B kursą"</formula>
    </cfRule>
  </conditionalFormatting>
  <conditionalFormatting sqref="C23">
    <cfRule type="expression" priority="59" dxfId="5" stopIfTrue="1">
      <formula>$V$23=0</formula>
    </cfRule>
  </conditionalFormatting>
  <conditionalFormatting sqref="O24:R26">
    <cfRule type="cellIs" priority="60" dxfId="57" operator="equal" stopIfTrue="1">
      <formula>"Privaloma pasirinkti bent vieną iš gamtos mokslų"</formula>
    </cfRule>
  </conditionalFormatting>
  <conditionalFormatting sqref="C24">
    <cfRule type="expression" priority="61" dxfId="5" stopIfTrue="1">
      <formula>$W$24=0</formula>
    </cfRule>
  </conditionalFormatting>
  <conditionalFormatting sqref="R27:R33">
    <cfRule type="cellIs" priority="62" dxfId="57" operator="equal" stopIfTrue="1">
      <formula>"Privaloma pasirinkti vieną menų arba technologijų dalyką"</formula>
    </cfRule>
  </conditionalFormatting>
  <conditionalFormatting sqref="I16">
    <cfRule type="expression" priority="63" dxfId="0" stopIfTrue="1">
      <formula>$V$16=1</formula>
    </cfRule>
  </conditionalFormatting>
  <conditionalFormatting sqref="I17">
    <cfRule type="expression" priority="64" dxfId="0" stopIfTrue="1">
      <formula>$V$17=1</formula>
    </cfRule>
  </conditionalFormatting>
  <conditionalFormatting sqref="I18:I19">
    <cfRule type="expression" priority="65" dxfId="0" stopIfTrue="1">
      <formula>$V$18*$W$18=1</formula>
    </cfRule>
  </conditionalFormatting>
  <conditionalFormatting sqref="I15:K15">
    <cfRule type="expression" priority="66" dxfId="15" stopIfTrue="1">
      <formula>$V$15=1</formula>
    </cfRule>
  </conditionalFormatting>
  <conditionalFormatting sqref="O15:R16">
    <cfRule type="cellIs" priority="67" dxfId="57" operator="equal" stopIfTrue="1">
      <formula>"Privaloma pasirinkti vieną dorinio ugdymo dalyką"</formula>
    </cfRule>
  </conditionalFormatting>
  <conditionalFormatting sqref="R17">
    <cfRule type="cellIs" priority="68" dxfId="57" operator="equal" stopIfTrue="1">
      <formula>"Privaloma pasirinkti lietuvių k. B arba A kursą."</formula>
    </cfRule>
  </conditionalFormatting>
  <conditionalFormatting sqref="C17">
    <cfRule type="expression" priority="69" dxfId="5" stopIfTrue="1">
      <formula>$V$17=0</formula>
    </cfRule>
  </conditionalFormatting>
  <conditionalFormatting sqref="C15">
    <cfRule type="expression" priority="70" dxfId="5" stopIfTrue="1">
      <formula>$W$15=0</formula>
    </cfRule>
  </conditionalFormatting>
  <conditionalFormatting sqref="C18:C19">
    <cfRule type="expression" priority="71" dxfId="5" stopIfTrue="1">
      <formula>$W$18=0</formula>
    </cfRule>
  </conditionalFormatting>
  <conditionalFormatting sqref="O18:R20">
    <cfRule type="cellIs" priority="72" dxfId="57" operator="equal" stopIfTrue="1">
      <formula>"Privaloma pasirinkti užsienio kalbą."</formula>
    </cfRule>
  </conditionalFormatting>
  <conditionalFormatting sqref="D9 D7">
    <cfRule type="cellIs" priority="75" dxfId="19" operator="equal" stopIfTrue="1">
      <formula>""</formula>
    </cfRule>
  </conditionalFormatting>
  <conditionalFormatting sqref="D41">
    <cfRule type="expression" priority="31" dxfId="0" stopIfTrue="1">
      <formula>$V41*$W41=1</formula>
    </cfRule>
  </conditionalFormatting>
  <conditionalFormatting sqref="O27">
    <cfRule type="cellIs" priority="26" dxfId="57" operator="equal" stopIfTrue="1">
      <formula>"Privaloma pasirinkti bent vieną iš menų ir technologijų mokslų"</formula>
    </cfRule>
  </conditionalFormatting>
  <conditionalFormatting sqref="D42:D43">
    <cfRule type="expression" priority="22" dxfId="0" stopIfTrue="1">
      <formula>$V42*$W$41=1</formula>
    </cfRule>
  </conditionalFormatting>
  <conditionalFormatting sqref="D18">
    <cfRule type="expression" priority="20" dxfId="15" stopIfTrue="1">
      <formula>$V18=1</formula>
    </cfRule>
  </conditionalFormatting>
  <conditionalFormatting sqref="D20:E20">
    <cfRule type="expression" priority="19" dxfId="0" stopIfTrue="1">
      <formula>$V20=1</formula>
    </cfRule>
  </conditionalFormatting>
  <conditionalFormatting sqref="I7:M7">
    <cfRule type="cellIs" priority="16" dxfId="12" operator="equal" stopIfTrue="1">
      <formula>""</formula>
    </cfRule>
  </conditionalFormatting>
  <conditionalFormatting sqref="I9:M9">
    <cfRule type="cellIs" priority="15" dxfId="12" operator="equal" stopIfTrue="1">
      <formula>""</formula>
    </cfRule>
  </conditionalFormatting>
  <conditionalFormatting sqref="D19:E19">
    <cfRule type="expression" priority="13" dxfId="0" stopIfTrue="1">
      <formula>$V19=1</formula>
    </cfRule>
  </conditionalFormatting>
  <conditionalFormatting sqref="D55:E55 D56">
    <cfRule type="expression" priority="10" dxfId="0" stopIfTrue="1">
      <formula>$Z55=2</formula>
    </cfRule>
  </conditionalFormatting>
  <conditionalFormatting sqref="C27">
    <cfRule type="expression" priority="110" dxfId="5" stopIfTrue="1">
      <formula>SUM(V27:V33)=0</formula>
    </cfRule>
  </conditionalFormatting>
  <conditionalFormatting sqref="D65:E66">
    <cfRule type="expression" priority="7" dxfId="0" stopIfTrue="1">
      <formula>$Z65=2</formula>
    </cfRule>
  </conditionalFormatting>
  <conditionalFormatting sqref="D64:E64">
    <cfRule type="expression" priority="6" dxfId="0" stopIfTrue="1">
      <formula>$Z64=2</formula>
    </cfRule>
  </conditionalFormatting>
  <conditionalFormatting sqref="F57:H57">
    <cfRule type="expression" priority="4" dxfId="0" stopIfTrue="1">
      <formula>$V$38*$W$38=1</formula>
    </cfRule>
    <cfRule type="expression" priority="5" dxfId="5" stopIfTrue="1">
      <formula>$X$38=2</formula>
    </cfRule>
  </conditionalFormatting>
  <conditionalFormatting sqref="O17:Q17">
    <cfRule type="cellIs" priority="2" dxfId="57" operator="equal" stopIfTrue="1">
      <formula>"Privaloma pasirinkti lietuvių k. B arba A kursą."</formula>
    </cfRule>
  </conditionalFormatting>
  <conditionalFormatting sqref="S59">
    <cfRule type="expression" priority="1" dxfId="0" stopIfTrue="1">
      <formula>$Z59=2</formula>
    </cfRule>
  </conditionalFormatting>
  <printOptions/>
  <pageMargins left="0.7874015748031497" right="0.1968503937007874" top="0.5511811023622047" bottom="0.1968503937007874" header="0" footer="0"/>
  <pageSetup horizontalDpi="600" verticalDpi="600" orientation="portrait" paperSize="9" r:id="rId3"/>
  <rowBreaks count="1" manualBreakCount="1">
    <brk id="4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"/>
  <sheetViews>
    <sheetView zoomScale="115" zoomScaleNormal="115" zoomScalePageLayoutView="0" workbookViewId="0" topLeftCell="B1">
      <selection activeCell="BE8" sqref="BE8"/>
    </sheetView>
  </sheetViews>
  <sheetFormatPr defaultColWidth="9.140625" defaultRowHeight="12.75"/>
  <cols>
    <col min="1" max="1" width="5.00390625" style="74" customWidth="1"/>
    <col min="2" max="2" width="21.00390625" style="74" customWidth="1"/>
    <col min="3" max="4" width="3.00390625" style="74" customWidth="1"/>
    <col min="5" max="7" width="3.00390625" style="74" bestFit="1" customWidth="1"/>
    <col min="8" max="8" width="3.00390625" style="74" customWidth="1"/>
    <col min="9" max="9" width="3.00390625" style="78" bestFit="1" customWidth="1"/>
    <col min="10" max="10" width="2.8515625" style="74" customWidth="1"/>
    <col min="11" max="25" width="3.00390625" style="74" bestFit="1" customWidth="1"/>
    <col min="26" max="28" width="4.28125" style="74" customWidth="1"/>
    <col min="29" max="29" width="3.00390625" style="74" bestFit="1" customWidth="1"/>
    <col min="30" max="36" width="3.00390625" style="74" customWidth="1"/>
    <col min="37" max="43" width="3.140625" style="74" customWidth="1"/>
    <col min="44" max="45" width="5.7109375" style="74" customWidth="1"/>
    <col min="46" max="46" width="5.140625" style="74" bestFit="1" customWidth="1"/>
    <col min="47" max="47" width="7.28125" style="74" bestFit="1" customWidth="1"/>
    <col min="48" max="48" width="6.00390625" style="74" customWidth="1"/>
    <col min="49" max="49" width="7.28125" style="74" bestFit="1" customWidth="1"/>
    <col min="50" max="50" width="3.140625" style="74" customWidth="1"/>
    <col min="51" max="55" width="4.57421875" style="74" customWidth="1"/>
    <col min="56" max="56" width="6.140625" style="74" customWidth="1"/>
    <col min="57" max="57" width="4.28125" style="74" customWidth="1"/>
    <col min="58" max="16384" width="9.140625" style="74" customWidth="1"/>
  </cols>
  <sheetData>
    <row r="1" spans="1:57" ht="13.5" customHeight="1">
      <c r="A1" s="307" t="s">
        <v>3</v>
      </c>
      <c r="B1" s="308" t="s">
        <v>51</v>
      </c>
      <c r="C1" s="307" t="s">
        <v>52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17" t="s">
        <v>110</v>
      </c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26"/>
      <c r="AS1" s="326"/>
      <c r="AT1" s="326"/>
      <c r="AU1" s="326"/>
      <c r="AV1" s="326"/>
      <c r="AW1" s="326"/>
      <c r="AX1" s="326"/>
      <c r="AY1" s="326"/>
      <c r="AZ1" s="216"/>
      <c r="BA1" s="216"/>
      <c r="BB1" s="216"/>
      <c r="BC1" s="216"/>
      <c r="BD1" s="322" t="s">
        <v>53</v>
      </c>
      <c r="BE1" s="319" t="s">
        <v>72</v>
      </c>
    </row>
    <row r="2" spans="1:57" ht="51" customHeight="1">
      <c r="A2" s="307"/>
      <c r="B2" s="308"/>
      <c r="C2" s="307" t="s">
        <v>82</v>
      </c>
      <c r="D2" s="307"/>
      <c r="E2" s="306" t="s">
        <v>101</v>
      </c>
      <c r="F2" s="306" t="s">
        <v>100</v>
      </c>
      <c r="G2" s="307" t="s">
        <v>75</v>
      </c>
      <c r="H2" s="307"/>
      <c r="I2" s="307"/>
      <c r="J2" s="307" t="s">
        <v>103</v>
      </c>
      <c r="K2" s="307"/>
      <c r="L2" s="307"/>
      <c r="M2" s="307"/>
      <c r="N2" s="306" t="s">
        <v>54</v>
      </c>
      <c r="O2" s="306" t="s">
        <v>105</v>
      </c>
      <c r="P2" s="307" t="s">
        <v>29</v>
      </c>
      <c r="Q2" s="307"/>
      <c r="R2" s="307"/>
      <c r="S2" s="307"/>
      <c r="T2" s="307"/>
      <c r="U2" s="307"/>
      <c r="V2" s="307" t="s">
        <v>33</v>
      </c>
      <c r="W2" s="307"/>
      <c r="X2" s="307"/>
      <c r="Y2" s="307"/>
      <c r="Z2" s="307"/>
      <c r="AA2" s="307"/>
      <c r="AB2" s="307"/>
      <c r="AC2" s="307" t="s">
        <v>37</v>
      </c>
      <c r="AD2" s="307"/>
      <c r="AE2" s="307" t="s">
        <v>76</v>
      </c>
      <c r="AF2" s="307"/>
      <c r="AG2" s="307"/>
      <c r="AH2" s="315" t="s">
        <v>55</v>
      </c>
      <c r="AI2" s="315" t="s">
        <v>80</v>
      </c>
      <c r="AJ2" s="315" t="s">
        <v>81</v>
      </c>
      <c r="AK2" s="325" t="s">
        <v>96</v>
      </c>
      <c r="AL2" s="311" t="s">
        <v>115</v>
      </c>
      <c r="AM2" s="311" t="s">
        <v>43</v>
      </c>
      <c r="AN2" s="313" t="s">
        <v>120</v>
      </c>
      <c r="AO2" s="313" t="s">
        <v>121</v>
      </c>
      <c r="AP2" s="313" t="s">
        <v>129</v>
      </c>
      <c r="AR2" s="316" t="s">
        <v>26</v>
      </c>
      <c r="AS2" s="316"/>
      <c r="AT2" s="123" t="s">
        <v>28</v>
      </c>
      <c r="AU2" s="75" t="s">
        <v>30</v>
      </c>
      <c r="AV2" s="75" t="s">
        <v>32</v>
      </c>
      <c r="AW2" s="122" t="s">
        <v>31</v>
      </c>
      <c r="AX2" s="116" t="s">
        <v>56</v>
      </c>
      <c r="AY2" s="325" t="s">
        <v>116</v>
      </c>
      <c r="AZ2" s="309" t="s">
        <v>127</v>
      </c>
      <c r="BA2" s="310"/>
      <c r="BB2" s="220"/>
      <c r="BC2" s="220"/>
      <c r="BD2" s="323"/>
      <c r="BE2" s="320"/>
    </row>
    <row r="3" spans="1:57" s="78" customFormat="1" ht="112.5" customHeight="1">
      <c r="A3" s="307"/>
      <c r="B3" s="308"/>
      <c r="C3" s="95" t="s">
        <v>21</v>
      </c>
      <c r="D3" s="76" t="s">
        <v>23</v>
      </c>
      <c r="E3" s="306"/>
      <c r="F3" s="306"/>
      <c r="G3" s="76" t="s">
        <v>24</v>
      </c>
      <c r="H3" s="76" t="s">
        <v>42</v>
      </c>
      <c r="I3" s="76" t="s">
        <v>25</v>
      </c>
      <c r="J3" s="76" t="s">
        <v>57</v>
      </c>
      <c r="K3" s="76" t="s">
        <v>104</v>
      </c>
      <c r="L3" s="76" t="s">
        <v>58</v>
      </c>
      <c r="M3" s="76" t="s">
        <v>59</v>
      </c>
      <c r="N3" s="306"/>
      <c r="O3" s="306"/>
      <c r="P3" s="76" t="s">
        <v>60</v>
      </c>
      <c r="Q3" s="76" t="s">
        <v>61</v>
      </c>
      <c r="R3" s="76" t="s">
        <v>64</v>
      </c>
      <c r="S3" s="76" t="s">
        <v>65</v>
      </c>
      <c r="T3" s="76" t="s">
        <v>62</v>
      </c>
      <c r="U3" s="76" t="s">
        <v>63</v>
      </c>
      <c r="V3" s="76" t="s">
        <v>66</v>
      </c>
      <c r="W3" s="76" t="s">
        <v>67</v>
      </c>
      <c r="X3" s="76" t="s">
        <v>68</v>
      </c>
      <c r="Y3" s="76" t="s">
        <v>106</v>
      </c>
      <c r="Z3" s="76" t="s">
        <v>107</v>
      </c>
      <c r="AA3" s="76" t="s">
        <v>122</v>
      </c>
      <c r="AB3" s="76" t="s">
        <v>108</v>
      </c>
      <c r="AC3" s="76" t="s">
        <v>69</v>
      </c>
      <c r="AD3" s="76" t="s">
        <v>109</v>
      </c>
      <c r="AE3" s="76" t="s">
        <v>42</v>
      </c>
      <c r="AF3" s="76" t="s">
        <v>39</v>
      </c>
      <c r="AG3" s="76" t="s">
        <v>25</v>
      </c>
      <c r="AH3" s="315"/>
      <c r="AI3" s="315"/>
      <c r="AJ3" s="315"/>
      <c r="AK3" s="325"/>
      <c r="AL3" s="312"/>
      <c r="AM3" s="312"/>
      <c r="AN3" s="314"/>
      <c r="AO3" s="314"/>
      <c r="AP3" s="314"/>
      <c r="AQ3" s="219" t="s">
        <v>130</v>
      </c>
      <c r="AR3" s="76" t="s">
        <v>112</v>
      </c>
      <c r="AS3" s="76" t="s">
        <v>134</v>
      </c>
      <c r="AT3" s="76" t="s">
        <v>135</v>
      </c>
      <c r="AU3" s="76" t="s">
        <v>111</v>
      </c>
      <c r="AV3" s="76" t="s">
        <v>117</v>
      </c>
      <c r="AW3" s="77" t="s">
        <v>98</v>
      </c>
      <c r="AX3" s="76" t="s">
        <v>99</v>
      </c>
      <c r="AY3" s="325"/>
      <c r="AZ3" s="221" t="s">
        <v>128</v>
      </c>
      <c r="BA3" s="221" t="s">
        <v>137</v>
      </c>
      <c r="BB3" s="228" t="s">
        <v>140</v>
      </c>
      <c r="BC3" s="228" t="s">
        <v>125</v>
      </c>
      <c r="BD3" s="324"/>
      <c r="BE3" s="321"/>
    </row>
    <row r="4" spans="1:57" s="78" customFormat="1" ht="12.75">
      <c r="A4" s="124" t="str">
        <f>"2"&amp;LEFT(Anketa!D9,1)</f>
        <v>2</v>
      </c>
      <c r="B4" s="119" t="str">
        <f>Anketa!I7&amp;" "&amp;Anketa!D7</f>
        <v> </v>
      </c>
      <c r="C4" s="79">
        <f>Anketa!J15</f>
      </c>
      <c r="D4" s="79">
        <f>Anketa!J16</f>
      </c>
      <c r="E4" s="79">
        <f>IF(Anketa!T17,Anketa!J17,"")</f>
      </c>
      <c r="F4" s="79">
        <f>IF(Anketa!U17,Anketa!J17,"")</f>
      </c>
      <c r="G4" s="79">
        <f>Anketa!J18</f>
      </c>
      <c r="H4" s="79">
        <f>Anketa!J19</f>
      </c>
      <c r="I4" s="79">
        <f>Anketa!J20</f>
      </c>
      <c r="J4" s="79">
        <f>IF(Anketa!T21,Anketa!J21,"")</f>
      </c>
      <c r="K4" s="79">
        <f>IF(Anketa!U21,Anketa!J21,"")</f>
      </c>
      <c r="L4" s="79">
        <f>IF(Anketa!T22,Anketa!J22,"")</f>
      </c>
      <c r="M4" s="79">
        <f>IF(Anketa!U22,Anketa!J22,"")</f>
      </c>
      <c r="N4" s="79">
        <f>IF(Anketa!T23,Anketa!J23,"")</f>
      </c>
      <c r="O4" s="79">
        <f>IF(Anketa!U23,Anketa!J23,"")</f>
      </c>
      <c r="P4" s="79">
        <f>IF(Anketa!T24,Anketa!J24,"")</f>
      </c>
      <c r="Q4" s="79">
        <f>IF(Anketa!U24,Anketa!J24,"")</f>
      </c>
      <c r="R4" s="79">
        <f>IF(Anketa!T25,Anketa!J25,"")</f>
      </c>
      <c r="S4" s="79">
        <f>IF(Anketa!U25,Anketa!J25,"")</f>
      </c>
      <c r="T4" s="79">
        <f>IF(Anketa!T26,Anketa!J26,"")</f>
      </c>
      <c r="U4" s="79">
        <f>IF(Anketa!U26,Anketa!J26,"")</f>
      </c>
      <c r="V4" s="79">
        <f>IF(Anketa!T27,Anketa!J27,"")</f>
      </c>
      <c r="W4" s="79">
        <f>IF(Anketa!T28,Anketa!J28,"")</f>
      </c>
      <c r="X4" s="79">
        <f>IF(Anketa!T29,Anketa!J29,"")</f>
      </c>
      <c r="Y4" s="79">
        <f>Anketa!J30</f>
      </c>
      <c r="Z4" s="79">
        <f>Anketa!J31</f>
      </c>
      <c r="AA4" s="79">
        <f>Anketa!J32</f>
      </c>
      <c r="AB4" s="79">
        <f>Anketa!J33</f>
      </c>
      <c r="AC4" s="79">
        <f>Anketa!J34</f>
      </c>
      <c r="AD4" s="79">
        <f>Anketa!J35</f>
      </c>
      <c r="AE4" s="79">
        <f>IF(Anketa!U38,Anketa!J38,"")</f>
      </c>
      <c r="AF4" s="79">
        <f>IF(Anketa!U39,Anketa!J39,"")</f>
      </c>
      <c r="AG4" s="117">
        <f>IF(Anketa!U40,Anketa!J40,"")</f>
      </c>
      <c r="AH4" s="79">
        <f>IF(Anketa!T41,Anketa!J41,"")</f>
      </c>
      <c r="AI4" s="79">
        <f>IF(Anketa!U42,Anketa!J42,"")</f>
      </c>
      <c r="AJ4" s="79">
        <f>IF(Anketa!U43,Anketa!J43,"")</f>
      </c>
      <c r="AK4" s="79">
        <f>Anketa!J46</f>
      </c>
      <c r="AL4" s="79">
        <f>Anketa!J47</f>
      </c>
      <c r="AM4" s="79">
        <f>Anketa!J48</f>
      </c>
      <c r="AN4" s="79">
        <f>Anketa!J49</f>
      </c>
      <c r="AO4" s="79">
        <f>Anketa!J50</f>
      </c>
      <c r="AP4" s="79">
        <f>Anketa!J51</f>
      </c>
      <c r="AQ4" s="79">
        <f>Anketa!J52</f>
      </c>
      <c r="AR4" s="79">
        <f>Anketa!J55</f>
      </c>
      <c r="AS4" s="79">
        <f>Anketa!J56</f>
      </c>
      <c r="AT4" s="79">
        <f>Anketa!J57</f>
      </c>
      <c r="AU4" s="79">
        <f>Anketa!J58</f>
      </c>
      <c r="AV4" s="79">
        <f>Anketa!J60</f>
      </c>
      <c r="AW4" s="79">
        <f>Anketa!J61</f>
      </c>
      <c r="AX4" s="79">
        <f>Anketa!J62</f>
      </c>
      <c r="AY4" s="79">
        <f>Anketa!J63</f>
      </c>
      <c r="AZ4" s="79">
        <f>Anketa!J64</f>
      </c>
      <c r="BA4" s="79">
        <f>Anketa!J65</f>
      </c>
      <c r="BB4" s="79">
        <f>Anketa!J67</f>
      </c>
      <c r="BC4" s="79">
        <f>Anketa!J68</f>
      </c>
      <c r="BD4" s="118">
        <f>SUM(C4:BC4)</f>
        <v>0</v>
      </c>
      <c r="BE4" s="117">
        <f>COUNT(C4:AM4)</f>
        <v>0</v>
      </c>
    </row>
  </sheetData>
  <sheetProtection/>
  <mergeCells count="30">
    <mergeCell ref="AR2:AS2"/>
    <mergeCell ref="AE1:AQ1"/>
    <mergeCell ref="BE1:BE3"/>
    <mergeCell ref="BD1:BD3"/>
    <mergeCell ref="AY2:AY3"/>
    <mergeCell ref="AR1:AY1"/>
    <mergeCell ref="AM2:AM3"/>
    <mergeCell ref="AK2:AK3"/>
    <mergeCell ref="AJ2:AJ3"/>
    <mergeCell ref="AO2:AO3"/>
    <mergeCell ref="AZ2:BA2"/>
    <mergeCell ref="AE2:AG2"/>
    <mergeCell ref="C2:D2"/>
    <mergeCell ref="AL2:AL3"/>
    <mergeCell ref="E2:E3"/>
    <mergeCell ref="AP2:AP3"/>
    <mergeCell ref="AN2:AN3"/>
    <mergeCell ref="AH2:AH3"/>
    <mergeCell ref="P2:U2"/>
    <mergeCell ref="AI2:AI3"/>
    <mergeCell ref="O2:O3"/>
    <mergeCell ref="A1:A3"/>
    <mergeCell ref="B1:B3"/>
    <mergeCell ref="V2:AB2"/>
    <mergeCell ref="AC2:AD2"/>
    <mergeCell ref="C1:AD1"/>
    <mergeCell ref="N2:N3"/>
    <mergeCell ref="J2:M2"/>
    <mergeCell ref="F2:F3"/>
    <mergeCell ref="G2:I2"/>
  </mergeCells>
  <conditionalFormatting sqref="BD4">
    <cfRule type="cellIs" priority="28" dxfId="1" operator="notBetween">
      <formula>28</formula>
      <formula>32</formula>
    </cfRule>
  </conditionalFormatting>
  <conditionalFormatting sqref="BE4">
    <cfRule type="cellIs" priority="27" dxfId="1" operator="lessThan" stopIfTrue="1">
      <formula>9</formula>
    </cfRule>
  </conditionalFormatting>
  <conditionalFormatting sqref="AZ3:BC3">
    <cfRule type="expression" priority="2" dxfId="0" stopIfTrue="1">
      <formula>$Y3=2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Vaidilute</dc:creator>
  <cp:keywords/>
  <dc:description/>
  <cp:lastModifiedBy>„Windows“ vartotojas</cp:lastModifiedBy>
  <cp:lastPrinted>2019-03-14T09:17:21Z</cp:lastPrinted>
  <dcterms:created xsi:type="dcterms:W3CDTF">2010-02-12T08:48:25Z</dcterms:created>
  <dcterms:modified xsi:type="dcterms:W3CDTF">2019-04-03T08:53:31Z</dcterms:modified>
  <cp:category/>
  <cp:version/>
  <cp:contentType/>
  <cp:contentStatus/>
</cp:coreProperties>
</file>